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17.xml" ContentType="application/vnd.openxmlformats-officedocument.spreadsheetml.table+xml"/>
  <Override PartName="/xl/tables/table118.xml" ContentType="application/vnd.openxmlformats-officedocument.spreadsheetml.table+xml"/>
  <Override PartName="/xl/tables/table119.xml" ContentType="application/vnd.openxmlformats-officedocument.spreadsheetml.table+xml"/>
  <Override PartName="/xl/tables/table120.xml" ContentType="application/vnd.openxmlformats-officedocument.spreadsheetml.table+xml"/>
  <Override PartName="/xl/tables/table121.xml" ContentType="application/vnd.openxmlformats-officedocument.spreadsheetml.table+xml"/>
  <Override PartName="/xl/tables/table122.xml" ContentType="application/vnd.openxmlformats-officedocument.spreadsheetml.table+xml"/>
  <Override PartName="/xl/tables/table123.xml" ContentType="application/vnd.openxmlformats-officedocument.spreadsheetml.table+xml"/>
  <Override PartName="/xl/tables/table124.xml" ContentType="application/vnd.openxmlformats-officedocument.spreadsheetml.table+xml"/>
  <Override PartName="/xl/tables/table125.xml" ContentType="application/vnd.openxmlformats-officedocument.spreadsheetml.table+xml"/>
  <Override PartName="/xl/tables/table126.xml" ContentType="application/vnd.openxmlformats-officedocument.spreadsheetml.table+xml"/>
  <Override PartName="/xl/tables/table127.xml" ContentType="application/vnd.openxmlformats-officedocument.spreadsheetml.table+xml"/>
  <Override PartName="/xl/tables/table128.xml" ContentType="application/vnd.openxmlformats-officedocument.spreadsheetml.table+xml"/>
  <Override PartName="/xl/tables/table129.xml" ContentType="application/vnd.openxmlformats-officedocument.spreadsheetml.table+xml"/>
  <Override PartName="/xl/tables/table130.xml" ContentType="application/vnd.openxmlformats-officedocument.spreadsheetml.table+xml"/>
  <Override PartName="/xl/tables/table131.xml" ContentType="application/vnd.openxmlformats-officedocument.spreadsheetml.table+xml"/>
  <Override PartName="/xl/tables/table132.xml" ContentType="application/vnd.openxmlformats-officedocument.spreadsheetml.table+xml"/>
  <Override PartName="/xl/tables/table133.xml" ContentType="application/vnd.openxmlformats-officedocument.spreadsheetml.table+xml"/>
  <Override PartName="/xl/tables/table134.xml" ContentType="application/vnd.openxmlformats-officedocument.spreadsheetml.table+xml"/>
  <Override PartName="/xl/tables/table135.xml" ContentType="application/vnd.openxmlformats-officedocument.spreadsheetml.table+xml"/>
  <Override PartName="/xl/tables/table136.xml" ContentType="application/vnd.openxmlformats-officedocument.spreadsheetml.table+xml"/>
  <Override PartName="/xl/tables/table137.xml" ContentType="application/vnd.openxmlformats-officedocument.spreadsheetml.table+xml"/>
  <Override PartName="/xl/tables/table138.xml" ContentType="application/vnd.openxmlformats-officedocument.spreadsheetml.table+xml"/>
  <Override PartName="/xl/tables/table139.xml" ContentType="application/vnd.openxmlformats-officedocument.spreadsheetml.table+xml"/>
  <Override PartName="/xl/tables/table140.xml" ContentType="application/vnd.openxmlformats-officedocument.spreadsheetml.table+xml"/>
  <Override PartName="/xl/tables/table141.xml" ContentType="application/vnd.openxmlformats-officedocument.spreadsheetml.table+xml"/>
  <Override PartName="/xl/tables/table142.xml" ContentType="application/vnd.openxmlformats-officedocument.spreadsheetml.table+xml"/>
  <Override PartName="/xl/tables/table143.xml" ContentType="application/vnd.openxmlformats-officedocument.spreadsheetml.table+xml"/>
  <Override PartName="/xl/tables/table144.xml" ContentType="application/vnd.openxmlformats-officedocument.spreadsheetml.table+xml"/>
  <Override PartName="/xl/tables/table145.xml" ContentType="application/vnd.openxmlformats-officedocument.spreadsheetml.table+xml"/>
  <Override PartName="/xl/tables/table146.xml" ContentType="application/vnd.openxmlformats-officedocument.spreadsheetml.table+xml"/>
  <Override PartName="/xl/tables/table147.xml" ContentType="application/vnd.openxmlformats-officedocument.spreadsheetml.table+xml"/>
  <Override PartName="/xl/tables/table148.xml" ContentType="application/vnd.openxmlformats-officedocument.spreadsheetml.table+xml"/>
  <Override PartName="/xl/tables/table149.xml" ContentType="application/vnd.openxmlformats-officedocument.spreadsheetml.table+xml"/>
  <Override PartName="/xl/tables/table150.xml" ContentType="application/vnd.openxmlformats-officedocument.spreadsheetml.table+xml"/>
  <Override PartName="/xl/tables/table151.xml" ContentType="application/vnd.openxmlformats-officedocument.spreadsheetml.table+xml"/>
  <Override PartName="/xl/tables/table152.xml" ContentType="application/vnd.openxmlformats-officedocument.spreadsheetml.table+xml"/>
  <Override PartName="/xl/tables/table153.xml" ContentType="application/vnd.openxmlformats-officedocument.spreadsheetml.table+xml"/>
  <Override PartName="/xl/tables/table154.xml" ContentType="application/vnd.openxmlformats-officedocument.spreadsheetml.table+xml"/>
  <Override PartName="/xl/tables/table155.xml" ContentType="application/vnd.openxmlformats-officedocument.spreadsheetml.table+xml"/>
  <Override PartName="/xl/tables/table156.xml" ContentType="application/vnd.openxmlformats-officedocument.spreadsheetml.table+xml"/>
  <Override PartName="/xl/tables/table157.xml" ContentType="application/vnd.openxmlformats-officedocument.spreadsheetml.table+xml"/>
  <Override PartName="/xl/tables/table158.xml" ContentType="application/vnd.openxmlformats-officedocument.spreadsheetml.table+xml"/>
  <Override PartName="/xl/tables/table159.xml" ContentType="application/vnd.openxmlformats-officedocument.spreadsheetml.table+xml"/>
  <Override PartName="/xl/tables/table160.xml" ContentType="application/vnd.openxmlformats-officedocument.spreadsheetml.table+xml"/>
  <Override PartName="/xl/tables/table161.xml" ContentType="application/vnd.openxmlformats-officedocument.spreadsheetml.table+xml"/>
  <Override PartName="/xl/tables/table162.xml" ContentType="application/vnd.openxmlformats-officedocument.spreadsheetml.table+xml"/>
  <Override PartName="/xl/tables/table163.xml" ContentType="application/vnd.openxmlformats-officedocument.spreadsheetml.table+xml"/>
  <Override PartName="/xl/tables/table164.xml" ContentType="application/vnd.openxmlformats-officedocument.spreadsheetml.table+xml"/>
  <Override PartName="/xl/tables/table165.xml" ContentType="application/vnd.openxmlformats-officedocument.spreadsheetml.table+xml"/>
  <Override PartName="/xl/tables/table166.xml" ContentType="application/vnd.openxmlformats-officedocument.spreadsheetml.table+xml"/>
  <Override PartName="/xl/tables/table167.xml" ContentType="application/vnd.openxmlformats-officedocument.spreadsheetml.table+xml"/>
  <Override PartName="/xl/tables/table168.xml" ContentType="application/vnd.openxmlformats-officedocument.spreadsheetml.table+xml"/>
  <Override PartName="/xl/tables/table169.xml" ContentType="application/vnd.openxmlformats-officedocument.spreadsheetml.table+xml"/>
  <Override PartName="/xl/tables/table170.xml" ContentType="application/vnd.openxmlformats-officedocument.spreadsheetml.table+xml"/>
  <Override PartName="/xl/tables/table171.xml" ContentType="application/vnd.openxmlformats-officedocument.spreadsheetml.table+xml"/>
  <Override PartName="/xl/tables/table172.xml" ContentType="application/vnd.openxmlformats-officedocument.spreadsheetml.table+xml"/>
  <Override PartName="/xl/tables/table173.xml" ContentType="application/vnd.openxmlformats-officedocument.spreadsheetml.table+xml"/>
  <Override PartName="/xl/tables/table174.xml" ContentType="application/vnd.openxmlformats-officedocument.spreadsheetml.table+xml"/>
  <Override PartName="/xl/tables/table175.xml" ContentType="application/vnd.openxmlformats-officedocument.spreadsheetml.table+xml"/>
  <Override PartName="/xl/tables/table176.xml" ContentType="application/vnd.openxmlformats-officedocument.spreadsheetml.table+xml"/>
  <Override PartName="/xl/tables/table177.xml" ContentType="application/vnd.openxmlformats-officedocument.spreadsheetml.table+xml"/>
  <Override PartName="/xl/tables/table178.xml" ContentType="application/vnd.openxmlformats-officedocument.spreadsheetml.table+xml"/>
  <Override PartName="/xl/tables/table179.xml" ContentType="application/vnd.openxmlformats-officedocument.spreadsheetml.table+xml"/>
  <Override PartName="/xl/tables/table180.xml" ContentType="application/vnd.openxmlformats-officedocument.spreadsheetml.table+xml"/>
  <Override PartName="/xl/tables/table181.xml" ContentType="application/vnd.openxmlformats-officedocument.spreadsheetml.table+xml"/>
  <Override PartName="/xl/tables/table182.xml" ContentType="application/vnd.openxmlformats-officedocument.spreadsheetml.table+xml"/>
  <Override PartName="/xl/tables/table183.xml" ContentType="application/vnd.openxmlformats-officedocument.spreadsheetml.table+xml"/>
  <Override PartName="/xl/tables/table184.xml" ContentType="application/vnd.openxmlformats-officedocument.spreadsheetml.table+xml"/>
  <Override PartName="/xl/tables/table185.xml" ContentType="application/vnd.openxmlformats-officedocument.spreadsheetml.table+xml"/>
  <Override PartName="/xl/tables/table186.xml" ContentType="application/vnd.openxmlformats-officedocument.spreadsheetml.table+xml"/>
  <Override PartName="/xl/tables/table187.xml" ContentType="application/vnd.openxmlformats-officedocument.spreadsheetml.table+xml"/>
  <Override PartName="/xl/tables/table188.xml" ContentType="application/vnd.openxmlformats-officedocument.spreadsheetml.table+xml"/>
  <Override PartName="/xl/tables/table189.xml" ContentType="application/vnd.openxmlformats-officedocument.spreadsheetml.table+xml"/>
  <Override PartName="/xl/tables/table190.xml" ContentType="application/vnd.openxmlformats-officedocument.spreadsheetml.table+xml"/>
  <Override PartName="/xl/tables/table191.xml" ContentType="application/vnd.openxmlformats-officedocument.spreadsheetml.table+xml"/>
  <Override PartName="/xl/tables/table192.xml" ContentType="application/vnd.openxmlformats-officedocument.spreadsheetml.table+xml"/>
  <Override PartName="/xl/tables/table193.xml" ContentType="application/vnd.openxmlformats-officedocument.spreadsheetml.table+xml"/>
  <Override PartName="/xl/tables/table194.xml" ContentType="application/vnd.openxmlformats-officedocument.spreadsheetml.table+xml"/>
  <Override PartName="/xl/tables/table195.xml" ContentType="application/vnd.openxmlformats-officedocument.spreadsheetml.table+xml"/>
  <Override PartName="/xl/tables/table196.xml" ContentType="application/vnd.openxmlformats-officedocument.spreadsheetml.table+xml"/>
  <Override PartName="/xl/tables/table197.xml" ContentType="application/vnd.openxmlformats-officedocument.spreadsheetml.table+xml"/>
  <Override PartName="/xl/tables/table198.xml" ContentType="application/vnd.openxmlformats-officedocument.spreadsheetml.table+xml"/>
  <Override PartName="/xl/tables/table199.xml" ContentType="application/vnd.openxmlformats-officedocument.spreadsheetml.table+xml"/>
  <Override PartName="/xl/tables/table200.xml" ContentType="application/vnd.openxmlformats-officedocument.spreadsheetml.table+xml"/>
  <Override PartName="/xl/tables/table201.xml" ContentType="application/vnd.openxmlformats-officedocument.spreadsheetml.table+xml"/>
  <Override PartName="/xl/tables/table202.xml" ContentType="application/vnd.openxmlformats-officedocument.spreadsheetml.table+xml"/>
  <Override PartName="/xl/tables/table203.xml" ContentType="application/vnd.openxmlformats-officedocument.spreadsheetml.table+xml"/>
  <Override PartName="/xl/tables/table204.xml" ContentType="application/vnd.openxmlformats-officedocument.spreadsheetml.table+xml"/>
  <Override PartName="/xl/tables/table205.xml" ContentType="application/vnd.openxmlformats-officedocument.spreadsheetml.table+xml"/>
  <Override PartName="/xl/tables/table206.xml" ContentType="application/vnd.openxmlformats-officedocument.spreadsheetml.table+xml"/>
  <Override PartName="/xl/tables/table207.xml" ContentType="application/vnd.openxmlformats-officedocument.spreadsheetml.table+xml"/>
  <Override PartName="/xl/tables/table208.xml" ContentType="application/vnd.openxmlformats-officedocument.spreadsheetml.table+xml"/>
  <Override PartName="/xl/tables/table209.xml" ContentType="application/vnd.openxmlformats-officedocument.spreadsheetml.table+xml"/>
  <Override PartName="/xl/tables/table210.xml" ContentType="application/vnd.openxmlformats-officedocument.spreadsheetml.table+xml"/>
  <Override PartName="/xl/tables/table211.xml" ContentType="application/vnd.openxmlformats-officedocument.spreadsheetml.table+xml"/>
  <Override PartName="/xl/tables/table212.xml" ContentType="application/vnd.openxmlformats-officedocument.spreadsheetml.table+xml"/>
  <Override PartName="/xl/tables/table213.xml" ContentType="application/vnd.openxmlformats-officedocument.spreadsheetml.table+xml"/>
  <Override PartName="/xl/tables/table214.xml" ContentType="application/vnd.openxmlformats-officedocument.spreadsheetml.table+xml"/>
  <Override PartName="/xl/tables/table215.xml" ContentType="application/vnd.openxmlformats-officedocument.spreadsheetml.table+xml"/>
  <Override PartName="/xl/tables/table216.xml" ContentType="application/vnd.openxmlformats-officedocument.spreadsheetml.table+xml"/>
  <Override PartName="/xl/tables/table217.xml" ContentType="application/vnd.openxmlformats-officedocument.spreadsheetml.table+xml"/>
  <Override PartName="/xl/tables/table218.xml" ContentType="application/vnd.openxmlformats-officedocument.spreadsheetml.table+xml"/>
  <Override PartName="/xl/tables/table219.xml" ContentType="application/vnd.openxmlformats-officedocument.spreadsheetml.table+xml"/>
  <Override PartName="/xl/tables/table220.xml" ContentType="application/vnd.openxmlformats-officedocument.spreadsheetml.table+xml"/>
  <Override PartName="/xl/tables/table221.xml" ContentType="application/vnd.openxmlformats-officedocument.spreadsheetml.table+xml"/>
  <Override PartName="/xl/tables/table222.xml" ContentType="application/vnd.openxmlformats-officedocument.spreadsheetml.table+xml"/>
  <Override PartName="/xl/tables/table223.xml" ContentType="application/vnd.openxmlformats-officedocument.spreadsheetml.table+xml"/>
  <Override PartName="/xl/tables/table224.xml" ContentType="application/vnd.openxmlformats-officedocument.spreadsheetml.table+xml"/>
  <Override PartName="/xl/tables/table225.xml" ContentType="application/vnd.openxmlformats-officedocument.spreadsheetml.table+xml"/>
  <Override PartName="/xl/tables/table226.xml" ContentType="application/vnd.openxmlformats-officedocument.spreadsheetml.table+xml"/>
  <Override PartName="/xl/tables/table227.xml" ContentType="application/vnd.openxmlformats-officedocument.spreadsheetml.table+xml"/>
  <Override PartName="/xl/tables/table228.xml" ContentType="application/vnd.openxmlformats-officedocument.spreadsheetml.table+xml"/>
  <Override PartName="/xl/tables/table229.xml" ContentType="application/vnd.openxmlformats-officedocument.spreadsheetml.table+xml"/>
  <Override PartName="/xl/tables/table230.xml" ContentType="application/vnd.openxmlformats-officedocument.spreadsheetml.table+xml"/>
  <Override PartName="/xl/tables/table231.xml" ContentType="application/vnd.openxmlformats-officedocument.spreadsheetml.table+xml"/>
  <Override PartName="/xl/tables/table232.xml" ContentType="application/vnd.openxmlformats-officedocument.spreadsheetml.table+xml"/>
  <Override PartName="/xl/tables/table233.xml" ContentType="application/vnd.openxmlformats-officedocument.spreadsheetml.table+xml"/>
  <Override PartName="/xl/tables/table234.xml" ContentType="application/vnd.openxmlformats-officedocument.spreadsheetml.table+xml"/>
  <Override PartName="/xl/tables/table235.xml" ContentType="application/vnd.openxmlformats-officedocument.spreadsheetml.table+xml"/>
  <Override PartName="/xl/tables/table236.xml" ContentType="application/vnd.openxmlformats-officedocument.spreadsheetml.table+xml"/>
  <Override PartName="/xl/tables/table237.xml" ContentType="application/vnd.openxmlformats-officedocument.spreadsheetml.table+xml"/>
  <Override PartName="/xl/tables/table238.xml" ContentType="application/vnd.openxmlformats-officedocument.spreadsheetml.table+xml"/>
  <Override PartName="/xl/tables/table239.xml" ContentType="application/vnd.openxmlformats-officedocument.spreadsheetml.table+xml"/>
  <Override PartName="/xl/tables/table240.xml" ContentType="application/vnd.openxmlformats-officedocument.spreadsheetml.table+xml"/>
  <Override PartName="/xl/tables/table241.xml" ContentType="application/vnd.openxmlformats-officedocument.spreadsheetml.table+xml"/>
  <Override PartName="/xl/tables/table242.xml" ContentType="application/vnd.openxmlformats-officedocument.spreadsheetml.table+xml"/>
  <Override PartName="/xl/tables/table243.xml" ContentType="application/vnd.openxmlformats-officedocument.spreadsheetml.table+xml"/>
  <Override PartName="/xl/tables/table244.xml" ContentType="application/vnd.openxmlformats-officedocument.spreadsheetml.table+xml"/>
  <Override PartName="/xl/tables/table245.xml" ContentType="application/vnd.openxmlformats-officedocument.spreadsheetml.table+xml"/>
  <Override PartName="/xl/tables/table246.xml" ContentType="application/vnd.openxmlformats-officedocument.spreadsheetml.table+xml"/>
  <Override PartName="/xl/tables/table247.xml" ContentType="application/vnd.openxmlformats-officedocument.spreadsheetml.table+xml"/>
  <Override PartName="/xl/tables/table248.xml" ContentType="application/vnd.openxmlformats-officedocument.spreadsheetml.table+xml"/>
  <Override PartName="/xl/tables/table249.xml" ContentType="application/vnd.openxmlformats-officedocument.spreadsheetml.table+xml"/>
  <Override PartName="/xl/tables/table250.xml" ContentType="application/vnd.openxmlformats-officedocument.spreadsheetml.table+xml"/>
  <Override PartName="/xl/tables/table251.xml" ContentType="application/vnd.openxmlformats-officedocument.spreadsheetml.table+xml"/>
  <Override PartName="/xl/tables/table252.xml" ContentType="application/vnd.openxmlformats-officedocument.spreadsheetml.table+xml"/>
  <Override PartName="/xl/tables/table253.xml" ContentType="application/vnd.openxmlformats-officedocument.spreadsheetml.table+xml"/>
  <Override PartName="/xl/tables/table254.xml" ContentType="application/vnd.openxmlformats-officedocument.spreadsheetml.table+xml"/>
  <Override PartName="/xl/tables/table255.xml" ContentType="application/vnd.openxmlformats-officedocument.spreadsheetml.table+xml"/>
  <Override PartName="/xl/tables/table256.xml" ContentType="application/vnd.openxmlformats-officedocument.spreadsheetml.table+xml"/>
  <Override PartName="/xl/tables/table257.xml" ContentType="application/vnd.openxmlformats-officedocument.spreadsheetml.table+xml"/>
  <Override PartName="/xl/tables/table258.xml" ContentType="application/vnd.openxmlformats-officedocument.spreadsheetml.table+xml"/>
  <Override PartName="/xl/tables/table259.xml" ContentType="application/vnd.openxmlformats-officedocument.spreadsheetml.table+xml"/>
  <Override PartName="/xl/tables/table260.xml" ContentType="application/vnd.openxmlformats-officedocument.spreadsheetml.table+xml"/>
  <Override PartName="/xl/tables/table261.xml" ContentType="application/vnd.openxmlformats-officedocument.spreadsheetml.table+xml"/>
  <Override PartName="/xl/tables/table262.xml" ContentType="application/vnd.openxmlformats-officedocument.spreadsheetml.table+xml"/>
  <Override PartName="/xl/tables/table263.xml" ContentType="application/vnd.openxmlformats-officedocument.spreadsheetml.table+xml"/>
  <Override PartName="/xl/tables/table264.xml" ContentType="application/vnd.openxmlformats-officedocument.spreadsheetml.table+xml"/>
  <Override PartName="/xl/tables/table265.xml" ContentType="application/vnd.openxmlformats-officedocument.spreadsheetml.table+xml"/>
  <Override PartName="/xl/tables/table266.xml" ContentType="application/vnd.openxmlformats-officedocument.spreadsheetml.table+xml"/>
  <Override PartName="/xl/tables/table267.xml" ContentType="application/vnd.openxmlformats-officedocument.spreadsheetml.table+xml"/>
  <Override PartName="/xl/tables/table268.xml" ContentType="application/vnd.openxmlformats-officedocument.spreadsheetml.table+xml"/>
  <Override PartName="/xl/tables/table269.xml" ContentType="application/vnd.openxmlformats-officedocument.spreadsheetml.table+xml"/>
  <Override PartName="/xl/tables/table270.xml" ContentType="application/vnd.openxmlformats-officedocument.spreadsheetml.table+xml"/>
  <Override PartName="/xl/tables/table271.xml" ContentType="application/vnd.openxmlformats-officedocument.spreadsheetml.table+xml"/>
  <Override PartName="/xl/tables/table272.xml" ContentType="application/vnd.openxmlformats-officedocument.spreadsheetml.table+xml"/>
  <Override PartName="/xl/tables/table273.xml" ContentType="application/vnd.openxmlformats-officedocument.spreadsheetml.table+xml"/>
  <Override PartName="/xl/tables/table274.xml" ContentType="application/vnd.openxmlformats-officedocument.spreadsheetml.table+xml"/>
  <Override PartName="/xl/tables/table275.xml" ContentType="application/vnd.openxmlformats-officedocument.spreadsheetml.table+xml"/>
  <Override PartName="/xl/tables/table276.xml" ContentType="application/vnd.openxmlformats-officedocument.spreadsheetml.table+xml"/>
  <Override PartName="/xl/tables/table277.xml" ContentType="application/vnd.openxmlformats-officedocument.spreadsheetml.table+xml"/>
  <Override PartName="/xl/tables/table27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mitra/Downloads/Ready for upload/"/>
    </mc:Choice>
  </mc:AlternateContent>
  <xr:revisionPtr revIDLastSave="0" documentId="13_ncr:1_{F1CE6CBA-F894-F141-A7A3-7BD79857A1DC}" xr6:coauthVersionLast="36" xr6:coauthVersionMax="47" xr10:uidLastSave="{00000000-0000-0000-0000-000000000000}"/>
  <bookViews>
    <workbookView xWindow="0" yWindow="460" windowWidth="28800" windowHeight="16460" tabRatio="839" activeTab="5" xr2:uid="{00000000-000D-0000-FFFF-FFFF00000000}"/>
  </bookViews>
  <sheets>
    <sheet name="Read_me_first" sheetId="19" r:id="rId1"/>
    <sheet name="P1_Prevalence" sheetId="14" r:id="rId2"/>
    <sheet name="P2_Prevalence_by_type" sheetId="17" r:id="rId3"/>
    <sheet name="P3_Prevalence_household_level" sheetId="16" r:id="rId4"/>
    <sheet name="Indicators_by_type" sheetId="15" r:id="rId5"/>
    <sheet name="E1_Ever_attended_school" sheetId="5" r:id="rId6"/>
    <sheet name="E2_Less_Than_Primary" sheetId="6" r:id="rId7"/>
    <sheet name="E3_Primary" sheetId="7" r:id="rId8"/>
    <sheet name="E4_At_least_secondary" sheetId="8" r:id="rId9"/>
    <sheet name="H1_Water" sheetId="9" r:id="rId10"/>
    <sheet name="H2_Sanitation" sheetId="10" r:id="rId11"/>
    <sheet name="S1_Electricity" sheetId="11" r:id="rId12"/>
    <sheet name="S2_Clean_fuel" sheetId="12" r:id="rId13"/>
    <sheet name="S3_Adequate Housing" sheetId="1" r:id="rId14"/>
    <sheet name="S4_Owns Assets" sheetId="2" r:id="rId15"/>
    <sheet name="S5_Mobile_phone" sheetId="3" r:id="rId16"/>
    <sheet name="M1_Multid_poverty" sheetId="4" r:id="rId17"/>
  </sheets>
  <calcPr calcId="181029"/>
</workbook>
</file>

<file path=xl/calcChain.xml><?xml version="1.0" encoding="utf-8"?>
<calcChain xmlns="http://schemas.openxmlformats.org/spreadsheetml/2006/main">
  <c r="K92" i="5" l="1"/>
  <c r="K94" i="5"/>
  <c r="K92" i="4"/>
  <c r="K94" i="4"/>
  <c r="K92" i="3"/>
  <c r="K94" i="3"/>
  <c r="K92" i="2"/>
  <c r="K94" i="2"/>
  <c r="K92" i="1"/>
  <c r="K94" i="1"/>
  <c r="K92" i="12"/>
  <c r="K94" i="12"/>
  <c r="K92" i="11"/>
  <c r="K94" i="11"/>
  <c r="K92" i="10"/>
  <c r="K94" i="10"/>
  <c r="K92" i="9"/>
  <c r="K94" i="9"/>
  <c r="K92" i="8"/>
  <c r="K94" i="8"/>
  <c r="K92" i="7"/>
  <c r="K94" i="7"/>
  <c r="K92" i="6"/>
  <c r="K94" i="6"/>
  <c r="T132" i="4"/>
  <c r="N132" i="4"/>
  <c r="K132" i="4"/>
  <c r="E132" i="4"/>
  <c r="T131" i="4"/>
  <c r="N131" i="4"/>
  <c r="K131" i="4"/>
  <c r="E131" i="4"/>
  <c r="T130" i="4"/>
  <c r="N130" i="4"/>
  <c r="K130" i="4"/>
  <c r="E130" i="4"/>
  <c r="T129" i="4"/>
  <c r="N129" i="4"/>
  <c r="K129" i="4"/>
  <c r="E129" i="4"/>
  <c r="T128" i="4"/>
  <c r="N128" i="4"/>
  <c r="K128" i="4"/>
  <c r="E128" i="4"/>
  <c r="T127" i="4"/>
  <c r="N127" i="4"/>
  <c r="K127" i="4"/>
  <c r="E127" i="4"/>
  <c r="T126" i="4"/>
  <c r="N126" i="4"/>
  <c r="K126" i="4"/>
  <c r="E126" i="4"/>
  <c r="T125" i="4"/>
  <c r="N125" i="4"/>
  <c r="K125" i="4"/>
  <c r="E125" i="4"/>
  <c r="T124" i="4"/>
  <c r="N124" i="4"/>
  <c r="K124" i="4"/>
  <c r="E124" i="4"/>
  <c r="T122" i="4"/>
  <c r="N122" i="4"/>
  <c r="K122" i="4"/>
  <c r="E122" i="4"/>
  <c r="T121" i="4"/>
  <c r="N121" i="4"/>
  <c r="K121" i="4"/>
  <c r="E121" i="4"/>
  <c r="T120" i="4"/>
  <c r="N120" i="4"/>
  <c r="K120" i="4"/>
  <c r="E120" i="4"/>
  <c r="T119" i="4"/>
  <c r="N119" i="4"/>
  <c r="K119" i="4"/>
  <c r="E119" i="4"/>
  <c r="T118" i="4"/>
  <c r="N118" i="4"/>
  <c r="K118" i="4"/>
  <c r="E118" i="4"/>
  <c r="T117" i="4"/>
  <c r="N117" i="4"/>
  <c r="K117" i="4"/>
  <c r="E117" i="4"/>
  <c r="T113" i="4"/>
  <c r="N113" i="4"/>
  <c r="K113" i="4"/>
  <c r="E113" i="4"/>
  <c r="T112" i="4"/>
  <c r="N112" i="4"/>
  <c r="K112" i="4"/>
  <c r="E112" i="4"/>
  <c r="T111" i="4"/>
  <c r="N111" i="4"/>
  <c r="K111" i="4"/>
  <c r="E111" i="4"/>
  <c r="T110" i="4"/>
  <c r="N110" i="4"/>
  <c r="K110" i="4"/>
  <c r="E110" i="4"/>
  <c r="T109" i="4"/>
  <c r="N109" i="4"/>
  <c r="K109" i="4"/>
  <c r="E109" i="4"/>
  <c r="T108" i="4"/>
  <c r="N108" i="4"/>
  <c r="K108" i="4"/>
  <c r="E108" i="4"/>
  <c r="T107" i="4"/>
  <c r="N107" i="4"/>
  <c r="K107" i="4"/>
  <c r="E107" i="4"/>
  <c r="T106" i="4"/>
  <c r="N106" i="4"/>
  <c r="K106" i="4"/>
  <c r="E106" i="4"/>
  <c r="T104" i="4"/>
  <c r="N104" i="4"/>
  <c r="K104" i="4"/>
  <c r="E104" i="4"/>
  <c r="T103" i="4"/>
  <c r="N103" i="4"/>
  <c r="K103" i="4"/>
  <c r="E103" i="4"/>
  <c r="T101" i="4"/>
  <c r="N101" i="4"/>
  <c r="K101" i="4"/>
  <c r="E101" i="4"/>
  <c r="T100" i="4"/>
  <c r="N100" i="4"/>
  <c r="K100" i="4"/>
  <c r="E100" i="4"/>
  <c r="T99" i="4"/>
  <c r="N99" i="4"/>
  <c r="K99" i="4"/>
  <c r="E99" i="4"/>
  <c r="T98" i="4"/>
  <c r="N98" i="4"/>
  <c r="K98" i="4"/>
  <c r="E98" i="4"/>
  <c r="T94" i="4"/>
  <c r="N94" i="4"/>
  <c r="E94" i="4"/>
  <c r="T92" i="4"/>
  <c r="N92" i="4"/>
  <c r="E92" i="4"/>
  <c r="T89" i="4"/>
  <c r="N89" i="4"/>
  <c r="K89" i="4"/>
  <c r="E89" i="4"/>
  <c r="T85" i="4"/>
  <c r="N85" i="4"/>
  <c r="K85" i="4"/>
  <c r="E85" i="4"/>
  <c r="T80" i="4"/>
  <c r="N80" i="4"/>
  <c r="K80" i="4"/>
  <c r="E80" i="4"/>
  <c r="T75" i="4"/>
  <c r="N75" i="4"/>
  <c r="K75" i="4"/>
  <c r="E75" i="4"/>
  <c r="T74" i="4"/>
  <c r="N74" i="4"/>
  <c r="K74" i="4"/>
  <c r="E74" i="4"/>
  <c r="T73" i="4"/>
  <c r="N73" i="4"/>
  <c r="K73" i="4"/>
  <c r="E73" i="4"/>
  <c r="T72" i="4"/>
  <c r="N72" i="4"/>
  <c r="K72" i="4"/>
  <c r="E72" i="4"/>
  <c r="T71" i="4"/>
  <c r="N71" i="4"/>
  <c r="K71" i="4"/>
  <c r="E71" i="4"/>
  <c r="T70" i="4"/>
  <c r="N70" i="4"/>
  <c r="K70" i="4"/>
  <c r="E70" i="4"/>
  <c r="T69" i="4"/>
  <c r="N69" i="4"/>
  <c r="K69" i="4"/>
  <c r="E69" i="4"/>
  <c r="T68" i="4"/>
  <c r="N68" i="4"/>
  <c r="K68" i="4"/>
  <c r="E68" i="4"/>
  <c r="T67" i="4"/>
  <c r="N67" i="4"/>
  <c r="K67" i="4"/>
  <c r="E67" i="4"/>
  <c r="T65" i="4"/>
  <c r="N65" i="4"/>
  <c r="K65" i="4"/>
  <c r="E65" i="4"/>
  <c r="T64" i="4"/>
  <c r="N64" i="4"/>
  <c r="K64" i="4"/>
  <c r="E64" i="4"/>
  <c r="T63" i="4"/>
  <c r="N63" i="4"/>
  <c r="K63" i="4"/>
  <c r="E63" i="4"/>
  <c r="T62" i="4"/>
  <c r="N62" i="4"/>
  <c r="K62" i="4"/>
  <c r="E62" i="4"/>
  <c r="T61" i="4"/>
  <c r="N61" i="4"/>
  <c r="K61" i="4"/>
  <c r="E61" i="4"/>
  <c r="T60" i="4"/>
  <c r="N60" i="4"/>
  <c r="K60" i="4"/>
  <c r="E60" i="4"/>
  <c r="T56" i="4"/>
  <c r="N56" i="4"/>
  <c r="K56" i="4"/>
  <c r="E56" i="4"/>
  <c r="T55" i="4"/>
  <c r="N55" i="4"/>
  <c r="K55" i="4"/>
  <c r="E55" i="4"/>
  <c r="T54" i="4"/>
  <c r="N54" i="4"/>
  <c r="K54" i="4"/>
  <c r="E54" i="4"/>
  <c r="T53" i="4"/>
  <c r="N53" i="4"/>
  <c r="K53" i="4"/>
  <c r="E53" i="4"/>
  <c r="T52" i="4"/>
  <c r="N52" i="4"/>
  <c r="K52" i="4"/>
  <c r="E52" i="4"/>
  <c r="T51" i="4"/>
  <c r="N51" i="4"/>
  <c r="K51" i="4"/>
  <c r="E51" i="4"/>
  <c r="T50" i="4"/>
  <c r="N50" i="4"/>
  <c r="K50" i="4"/>
  <c r="E50" i="4"/>
  <c r="T49" i="4"/>
  <c r="N49" i="4"/>
  <c r="K49" i="4"/>
  <c r="E49" i="4"/>
  <c r="T48" i="4"/>
  <c r="N48" i="4"/>
  <c r="K48" i="4"/>
  <c r="E48" i="4"/>
  <c r="T46" i="4"/>
  <c r="N46" i="4"/>
  <c r="K46" i="4"/>
  <c r="E46" i="4"/>
  <c r="T45" i="4"/>
  <c r="N45" i="4"/>
  <c r="K45" i="4"/>
  <c r="E45" i="4"/>
  <c r="T44" i="4"/>
  <c r="N44" i="4"/>
  <c r="K44" i="4"/>
  <c r="E44" i="4"/>
  <c r="T43" i="4"/>
  <c r="N43" i="4"/>
  <c r="K43" i="4"/>
  <c r="E43" i="4"/>
  <c r="T42" i="4"/>
  <c r="N42" i="4"/>
  <c r="K42" i="4"/>
  <c r="E42" i="4"/>
  <c r="T41" i="4"/>
  <c r="N41" i="4"/>
  <c r="K41" i="4"/>
  <c r="E41" i="4"/>
  <c r="T37" i="4"/>
  <c r="N37" i="4"/>
  <c r="K37" i="4"/>
  <c r="E37" i="4"/>
  <c r="T36" i="4"/>
  <c r="N36" i="4"/>
  <c r="K36" i="4"/>
  <c r="E36" i="4"/>
  <c r="T35" i="4"/>
  <c r="N35" i="4"/>
  <c r="K35" i="4"/>
  <c r="E35" i="4"/>
  <c r="T34" i="4"/>
  <c r="N34" i="4"/>
  <c r="K34" i="4"/>
  <c r="E34" i="4"/>
  <c r="T33" i="4"/>
  <c r="N33" i="4"/>
  <c r="K33" i="4"/>
  <c r="E33" i="4"/>
  <c r="T32" i="4"/>
  <c r="N32" i="4"/>
  <c r="K32" i="4"/>
  <c r="E32" i="4"/>
  <c r="T31" i="4"/>
  <c r="N31" i="4"/>
  <c r="K31" i="4"/>
  <c r="E31" i="4"/>
  <c r="T30" i="4"/>
  <c r="N30" i="4"/>
  <c r="K30" i="4"/>
  <c r="E30" i="4"/>
  <c r="T29" i="4"/>
  <c r="N29" i="4"/>
  <c r="K29" i="4"/>
  <c r="E29" i="4"/>
  <c r="T28" i="4"/>
  <c r="N28" i="4"/>
  <c r="K28" i="4"/>
  <c r="E28" i="4"/>
  <c r="T27" i="4"/>
  <c r="N27" i="4"/>
  <c r="K27" i="4"/>
  <c r="E27" i="4"/>
  <c r="T26" i="4"/>
  <c r="N26" i="4"/>
  <c r="K26" i="4"/>
  <c r="E26" i="4"/>
  <c r="T25" i="4"/>
  <c r="N25" i="4"/>
  <c r="K25" i="4"/>
  <c r="E25" i="4"/>
  <c r="T24" i="4"/>
  <c r="N24" i="4"/>
  <c r="K24" i="4"/>
  <c r="E24" i="4"/>
  <c r="T23" i="4"/>
  <c r="N23" i="4"/>
  <c r="K23" i="4"/>
  <c r="E23" i="4"/>
  <c r="T22" i="4"/>
  <c r="N22" i="4"/>
  <c r="K22" i="4"/>
  <c r="E22" i="4"/>
  <c r="T18" i="4"/>
  <c r="N18" i="4"/>
  <c r="K18" i="4"/>
  <c r="E18" i="4"/>
  <c r="T17" i="4"/>
  <c r="N17" i="4"/>
  <c r="K17" i="4"/>
  <c r="E17" i="4"/>
  <c r="T16" i="4"/>
  <c r="N16" i="4"/>
  <c r="K16" i="4"/>
  <c r="E16" i="4"/>
  <c r="T15" i="4"/>
  <c r="N15" i="4"/>
  <c r="K15" i="4"/>
  <c r="E15" i="4"/>
  <c r="T14" i="4"/>
  <c r="N14" i="4"/>
  <c r="K14" i="4"/>
  <c r="E14" i="4"/>
  <c r="T13" i="4"/>
  <c r="N13" i="4"/>
  <c r="K13" i="4"/>
  <c r="E13" i="4"/>
  <c r="T12" i="4"/>
  <c r="N12" i="4"/>
  <c r="K12" i="4"/>
  <c r="E12" i="4"/>
  <c r="T11" i="4"/>
  <c r="N11" i="4"/>
  <c r="K11" i="4"/>
  <c r="E11" i="4"/>
  <c r="T10" i="4"/>
  <c r="N10" i="4"/>
  <c r="K10" i="4"/>
  <c r="E10" i="4"/>
  <c r="T9" i="4"/>
  <c r="N9" i="4"/>
  <c r="K9" i="4"/>
  <c r="E9" i="4"/>
  <c r="T8" i="4"/>
  <c r="N8" i="4"/>
  <c r="K8" i="4"/>
  <c r="E8" i="4"/>
  <c r="T7" i="4"/>
  <c r="N7" i="4"/>
  <c r="K7" i="4"/>
  <c r="E7" i="4"/>
  <c r="T6" i="4"/>
  <c r="N6" i="4"/>
  <c r="K6" i="4"/>
  <c r="E6" i="4"/>
  <c r="T5" i="4"/>
  <c r="N5" i="4"/>
  <c r="K5" i="4"/>
  <c r="E5" i="4"/>
  <c r="T4" i="4"/>
  <c r="N4" i="4"/>
  <c r="K4" i="4"/>
  <c r="E4" i="4"/>
  <c r="T3" i="4"/>
  <c r="N3" i="4"/>
  <c r="K3" i="4"/>
  <c r="E3" i="4"/>
  <c r="T132" i="3"/>
  <c r="N132" i="3"/>
  <c r="K132" i="3"/>
  <c r="E132" i="3"/>
  <c r="T131" i="3"/>
  <c r="N131" i="3"/>
  <c r="K131" i="3"/>
  <c r="E131" i="3"/>
  <c r="T130" i="3"/>
  <c r="N130" i="3"/>
  <c r="K130" i="3"/>
  <c r="E130" i="3"/>
  <c r="T129" i="3"/>
  <c r="N129" i="3"/>
  <c r="K129" i="3"/>
  <c r="E129" i="3"/>
  <c r="T128" i="3"/>
  <c r="N128" i="3"/>
  <c r="K128" i="3"/>
  <c r="E128" i="3"/>
  <c r="T127" i="3"/>
  <c r="N127" i="3"/>
  <c r="K127" i="3"/>
  <c r="E127" i="3"/>
  <c r="T126" i="3"/>
  <c r="N126" i="3"/>
  <c r="K126" i="3"/>
  <c r="E126" i="3"/>
  <c r="T125" i="3"/>
  <c r="N125" i="3"/>
  <c r="K125" i="3"/>
  <c r="E125" i="3"/>
  <c r="T124" i="3"/>
  <c r="N124" i="3"/>
  <c r="K124" i="3"/>
  <c r="E124" i="3"/>
  <c r="T122" i="3"/>
  <c r="N122" i="3"/>
  <c r="K122" i="3"/>
  <c r="E122" i="3"/>
  <c r="T121" i="3"/>
  <c r="N121" i="3"/>
  <c r="K121" i="3"/>
  <c r="E121" i="3"/>
  <c r="T120" i="3"/>
  <c r="N120" i="3"/>
  <c r="K120" i="3"/>
  <c r="E120" i="3"/>
  <c r="T119" i="3"/>
  <c r="N119" i="3"/>
  <c r="K119" i="3"/>
  <c r="E119" i="3"/>
  <c r="T118" i="3"/>
  <c r="N118" i="3"/>
  <c r="K118" i="3"/>
  <c r="E118" i="3"/>
  <c r="T117" i="3"/>
  <c r="N117" i="3"/>
  <c r="K117" i="3"/>
  <c r="E117" i="3"/>
  <c r="T113" i="3"/>
  <c r="N113" i="3"/>
  <c r="K113" i="3"/>
  <c r="E113" i="3"/>
  <c r="T112" i="3"/>
  <c r="N112" i="3"/>
  <c r="K112" i="3"/>
  <c r="E112" i="3"/>
  <c r="T111" i="3"/>
  <c r="N111" i="3"/>
  <c r="K111" i="3"/>
  <c r="E111" i="3"/>
  <c r="T110" i="3"/>
  <c r="N110" i="3"/>
  <c r="K110" i="3"/>
  <c r="E110" i="3"/>
  <c r="T109" i="3"/>
  <c r="N109" i="3"/>
  <c r="K109" i="3"/>
  <c r="E109" i="3"/>
  <c r="T108" i="3"/>
  <c r="N108" i="3"/>
  <c r="K108" i="3"/>
  <c r="E108" i="3"/>
  <c r="T107" i="3"/>
  <c r="N107" i="3"/>
  <c r="K107" i="3"/>
  <c r="E107" i="3"/>
  <c r="T106" i="3"/>
  <c r="N106" i="3"/>
  <c r="K106" i="3"/>
  <c r="E106" i="3"/>
  <c r="T104" i="3"/>
  <c r="N104" i="3"/>
  <c r="K104" i="3"/>
  <c r="E104" i="3"/>
  <c r="T103" i="3"/>
  <c r="N103" i="3"/>
  <c r="K103" i="3"/>
  <c r="E103" i="3"/>
  <c r="T101" i="3"/>
  <c r="N101" i="3"/>
  <c r="K101" i="3"/>
  <c r="E101" i="3"/>
  <c r="T100" i="3"/>
  <c r="N100" i="3"/>
  <c r="K100" i="3"/>
  <c r="E100" i="3"/>
  <c r="T99" i="3"/>
  <c r="N99" i="3"/>
  <c r="K99" i="3"/>
  <c r="E99" i="3"/>
  <c r="T98" i="3"/>
  <c r="N98" i="3"/>
  <c r="K98" i="3"/>
  <c r="E98" i="3"/>
  <c r="T94" i="3"/>
  <c r="N94" i="3"/>
  <c r="E94" i="3"/>
  <c r="T92" i="3"/>
  <c r="N92" i="3"/>
  <c r="E92" i="3"/>
  <c r="T89" i="3"/>
  <c r="N89" i="3"/>
  <c r="K89" i="3"/>
  <c r="E89" i="3"/>
  <c r="T85" i="3"/>
  <c r="N85" i="3"/>
  <c r="K85" i="3"/>
  <c r="E85" i="3"/>
  <c r="T80" i="3"/>
  <c r="N80" i="3"/>
  <c r="K80" i="3"/>
  <c r="E80" i="3"/>
  <c r="T75" i="3"/>
  <c r="N75" i="3"/>
  <c r="K75" i="3"/>
  <c r="E75" i="3"/>
  <c r="T74" i="3"/>
  <c r="N74" i="3"/>
  <c r="K74" i="3"/>
  <c r="E74" i="3"/>
  <c r="T73" i="3"/>
  <c r="N73" i="3"/>
  <c r="K73" i="3"/>
  <c r="E73" i="3"/>
  <c r="T72" i="3"/>
  <c r="N72" i="3"/>
  <c r="K72" i="3"/>
  <c r="E72" i="3"/>
  <c r="T71" i="3"/>
  <c r="N71" i="3"/>
  <c r="K71" i="3"/>
  <c r="E71" i="3"/>
  <c r="T70" i="3"/>
  <c r="N70" i="3"/>
  <c r="K70" i="3"/>
  <c r="E70" i="3"/>
  <c r="T69" i="3"/>
  <c r="N69" i="3"/>
  <c r="K69" i="3"/>
  <c r="E69" i="3"/>
  <c r="T68" i="3"/>
  <c r="N68" i="3"/>
  <c r="K68" i="3"/>
  <c r="E68" i="3"/>
  <c r="T67" i="3"/>
  <c r="N67" i="3"/>
  <c r="K67" i="3"/>
  <c r="E67" i="3"/>
  <c r="T65" i="3"/>
  <c r="N65" i="3"/>
  <c r="K65" i="3"/>
  <c r="E65" i="3"/>
  <c r="T64" i="3"/>
  <c r="N64" i="3"/>
  <c r="K64" i="3"/>
  <c r="E64" i="3"/>
  <c r="T63" i="3"/>
  <c r="N63" i="3"/>
  <c r="K63" i="3"/>
  <c r="E63" i="3"/>
  <c r="T62" i="3"/>
  <c r="N62" i="3"/>
  <c r="K62" i="3"/>
  <c r="E62" i="3"/>
  <c r="T61" i="3"/>
  <c r="N61" i="3"/>
  <c r="K61" i="3"/>
  <c r="E61" i="3"/>
  <c r="T60" i="3"/>
  <c r="N60" i="3"/>
  <c r="K60" i="3"/>
  <c r="E60" i="3"/>
  <c r="T56" i="3"/>
  <c r="N56" i="3"/>
  <c r="K56" i="3"/>
  <c r="E56" i="3"/>
  <c r="T55" i="3"/>
  <c r="N55" i="3"/>
  <c r="K55" i="3"/>
  <c r="E55" i="3"/>
  <c r="T54" i="3"/>
  <c r="N54" i="3"/>
  <c r="K54" i="3"/>
  <c r="E54" i="3"/>
  <c r="T53" i="3"/>
  <c r="N53" i="3"/>
  <c r="K53" i="3"/>
  <c r="E53" i="3"/>
  <c r="T52" i="3"/>
  <c r="N52" i="3"/>
  <c r="K52" i="3"/>
  <c r="E52" i="3"/>
  <c r="T51" i="3"/>
  <c r="N51" i="3"/>
  <c r="K51" i="3"/>
  <c r="E51" i="3"/>
  <c r="T50" i="3"/>
  <c r="N50" i="3"/>
  <c r="K50" i="3"/>
  <c r="E50" i="3"/>
  <c r="T49" i="3"/>
  <c r="N49" i="3"/>
  <c r="K49" i="3"/>
  <c r="E49" i="3"/>
  <c r="T48" i="3"/>
  <c r="N48" i="3"/>
  <c r="K48" i="3"/>
  <c r="E48" i="3"/>
  <c r="T46" i="3"/>
  <c r="N46" i="3"/>
  <c r="K46" i="3"/>
  <c r="E46" i="3"/>
  <c r="T45" i="3"/>
  <c r="N45" i="3"/>
  <c r="K45" i="3"/>
  <c r="E45" i="3"/>
  <c r="T44" i="3"/>
  <c r="N44" i="3"/>
  <c r="K44" i="3"/>
  <c r="E44" i="3"/>
  <c r="T43" i="3"/>
  <c r="N43" i="3"/>
  <c r="K43" i="3"/>
  <c r="E43" i="3"/>
  <c r="T42" i="3"/>
  <c r="N42" i="3"/>
  <c r="K42" i="3"/>
  <c r="E42" i="3"/>
  <c r="T41" i="3"/>
  <c r="N41" i="3"/>
  <c r="K41" i="3"/>
  <c r="E41" i="3"/>
  <c r="T37" i="3"/>
  <c r="N37" i="3"/>
  <c r="K37" i="3"/>
  <c r="E37" i="3"/>
  <c r="T36" i="3"/>
  <c r="N36" i="3"/>
  <c r="K36" i="3"/>
  <c r="E36" i="3"/>
  <c r="T35" i="3"/>
  <c r="N35" i="3"/>
  <c r="K35" i="3"/>
  <c r="E35" i="3"/>
  <c r="T34" i="3"/>
  <c r="N34" i="3"/>
  <c r="K34" i="3"/>
  <c r="E34" i="3"/>
  <c r="T33" i="3"/>
  <c r="N33" i="3"/>
  <c r="K33" i="3"/>
  <c r="E33" i="3"/>
  <c r="T32" i="3"/>
  <c r="N32" i="3"/>
  <c r="K32" i="3"/>
  <c r="E32" i="3"/>
  <c r="T31" i="3"/>
  <c r="N31" i="3"/>
  <c r="K31" i="3"/>
  <c r="E31" i="3"/>
  <c r="T30" i="3"/>
  <c r="N30" i="3"/>
  <c r="K30" i="3"/>
  <c r="E30" i="3"/>
  <c r="T29" i="3"/>
  <c r="N29" i="3"/>
  <c r="K29" i="3"/>
  <c r="E29" i="3"/>
  <c r="T28" i="3"/>
  <c r="N28" i="3"/>
  <c r="K28" i="3"/>
  <c r="E28" i="3"/>
  <c r="T27" i="3"/>
  <c r="N27" i="3"/>
  <c r="K27" i="3"/>
  <c r="E27" i="3"/>
  <c r="T26" i="3"/>
  <c r="N26" i="3"/>
  <c r="K26" i="3"/>
  <c r="E26" i="3"/>
  <c r="T25" i="3"/>
  <c r="N25" i="3"/>
  <c r="K25" i="3"/>
  <c r="E25" i="3"/>
  <c r="T24" i="3"/>
  <c r="N24" i="3"/>
  <c r="K24" i="3"/>
  <c r="E24" i="3"/>
  <c r="T23" i="3"/>
  <c r="N23" i="3"/>
  <c r="K23" i="3"/>
  <c r="E23" i="3"/>
  <c r="T22" i="3"/>
  <c r="N22" i="3"/>
  <c r="K22" i="3"/>
  <c r="E22" i="3"/>
  <c r="T18" i="3"/>
  <c r="N18" i="3"/>
  <c r="K18" i="3"/>
  <c r="E18" i="3"/>
  <c r="T17" i="3"/>
  <c r="N17" i="3"/>
  <c r="K17" i="3"/>
  <c r="E17" i="3"/>
  <c r="T16" i="3"/>
  <c r="N16" i="3"/>
  <c r="K16" i="3"/>
  <c r="E16" i="3"/>
  <c r="T15" i="3"/>
  <c r="N15" i="3"/>
  <c r="K15" i="3"/>
  <c r="E15" i="3"/>
  <c r="T14" i="3"/>
  <c r="N14" i="3"/>
  <c r="K14" i="3"/>
  <c r="E14" i="3"/>
  <c r="T13" i="3"/>
  <c r="N13" i="3"/>
  <c r="K13" i="3"/>
  <c r="E13" i="3"/>
  <c r="T12" i="3"/>
  <c r="N12" i="3"/>
  <c r="K12" i="3"/>
  <c r="E12" i="3"/>
  <c r="T11" i="3"/>
  <c r="N11" i="3"/>
  <c r="K11" i="3"/>
  <c r="E11" i="3"/>
  <c r="T10" i="3"/>
  <c r="N10" i="3"/>
  <c r="K10" i="3"/>
  <c r="E10" i="3"/>
  <c r="T9" i="3"/>
  <c r="N9" i="3"/>
  <c r="K9" i="3"/>
  <c r="E9" i="3"/>
  <c r="T8" i="3"/>
  <c r="N8" i="3"/>
  <c r="K8" i="3"/>
  <c r="E8" i="3"/>
  <c r="T7" i="3"/>
  <c r="N7" i="3"/>
  <c r="K7" i="3"/>
  <c r="E7" i="3"/>
  <c r="T6" i="3"/>
  <c r="N6" i="3"/>
  <c r="K6" i="3"/>
  <c r="E6" i="3"/>
  <c r="T5" i="3"/>
  <c r="N5" i="3"/>
  <c r="K5" i="3"/>
  <c r="E5" i="3"/>
  <c r="T4" i="3"/>
  <c r="N4" i="3"/>
  <c r="K4" i="3"/>
  <c r="E4" i="3"/>
  <c r="T3" i="3"/>
  <c r="N3" i="3"/>
  <c r="K3" i="3"/>
  <c r="E3" i="3"/>
  <c r="T132" i="2"/>
  <c r="N132" i="2"/>
  <c r="K132" i="2"/>
  <c r="E132" i="2"/>
  <c r="T131" i="2"/>
  <c r="N131" i="2"/>
  <c r="K131" i="2"/>
  <c r="E131" i="2"/>
  <c r="T130" i="2"/>
  <c r="N130" i="2"/>
  <c r="K130" i="2"/>
  <c r="E130" i="2"/>
  <c r="T129" i="2"/>
  <c r="N129" i="2"/>
  <c r="K129" i="2"/>
  <c r="E129" i="2"/>
  <c r="T128" i="2"/>
  <c r="N128" i="2"/>
  <c r="K128" i="2"/>
  <c r="E128" i="2"/>
  <c r="T127" i="2"/>
  <c r="N127" i="2"/>
  <c r="K127" i="2"/>
  <c r="E127" i="2"/>
  <c r="T126" i="2"/>
  <c r="N126" i="2"/>
  <c r="K126" i="2"/>
  <c r="E126" i="2"/>
  <c r="T125" i="2"/>
  <c r="N125" i="2"/>
  <c r="K125" i="2"/>
  <c r="E125" i="2"/>
  <c r="T124" i="2"/>
  <c r="N124" i="2"/>
  <c r="K124" i="2"/>
  <c r="E124" i="2"/>
  <c r="T122" i="2"/>
  <c r="N122" i="2"/>
  <c r="K122" i="2"/>
  <c r="E122" i="2"/>
  <c r="T121" i="2"/>
  <c r="N121" i="2"/>
  <c r="K121" i="2"/>
  <c r="E121" i="2"/>
  <c r="T120" i="2"/>
  <c r="N120" i="2"/>
  <c r="K120" i="2"/>
  <c r="E120" i="2"/>
  <c r="T119" i="2"/>
  <c r="N119" i="2"/>
  <c r="K119" i="2"/>
  <c r="E119" i="2"/>
  <c r="T118" i="2"/>
  <c r="N118" i="2"/>
  <c r="K118" i="2"/>
  <c r="E118" i="2"/>
  <c r="T117" i="2"/>
  <c r="N117" i="2"/>
  <c r="K117" i="2"/>
  <c r="E117" i="2"/>
  <c r="T113" i="2"/>
  <c r="N113" i="2"/>
  <c r="K113" i="2"/>
  <c r="E113" i="2"/>
  <c r="T112" i="2"/>
  <c r="N112" i="2"/>
  <c r="K112" i="2"/>
  <c r="E112" i="2"/>
  <c r="T111" i="2"/>
  <c r="N111" i="2"/>
  <c r="K111" i="2"/>
  <c r="E111" i="2"/>
  <c r="T110" i="2"/>
  <c r="N110" i="2"/>
  <c r="K110" i="2"/>
  <c r="E110" i="2"/>
  <c r="T109" i="2"/>
  <c r="N109" i="2"/>
  <c r="K109" i="2"/>
  <c r="E109" i="2"/>
  <c r="T108" i="2"/>
  <c r="N108" i="2"/>
  <c r="K108" i="2"/>
  <c r="E108" i="2"/>
  <c r="T107" i="2"/>
  <c r="N107" i="2"/>
  <c r="K107" i="2"/>
  <c r="E107" i="2"/>
  <c r="T106" i="2"/>
  <c r="N106" i="2"/>
  <c r="K106" i="2"/>
  <c r="E106" i="2"/>
  <c r="T104" i="2"/>
  <c r="N104" i="2"/>
  <c r="K104" i="2"/>
  <c r="E104" i="2"/>
  <c r="T103" i="2"/>
  <c r="N103" i="2"/>
  <c r="K103" i="2"/>
  <c r="E103" i="2"/>
  <c r="T101" i="2"/>
  <c r="N101" i="2"/>
  <c r="K101" i="2"/>
  <c r="E101" i="2"/>
  <c r="T100" i="2"/>
  <c r="N100" i="2"/>
  <c r="K100" i="2"/>
  <c r="E100" i="2"/>
  <c r="T99" i="2"/>
  <c r="N99" i="2"/>
  <c r="K99" i="2"/>
  <c r="E99" i="2"/>
  <c r="T98" i="2"/>
  <c r="N98" i="2"/>
  <c r="K98" i="2"/>
  <c r="E98" i="2"/>
  <c r="T94" i="2"/>
  <c r="N94" i="2"/>
  <c r="E94" i="2"/>
  <c r="T92" i="2"/>
  <c r="N92" i="2"/>
  <c r="E92" i="2"/>
  <c r="T89" i="2"/>
  <c r="N89" i="2"/>
  <c r="K89" i="2"/>
  <c r="E89" i="2"/>
  <c r="T85" i="2"/>
  <c r="N85" i="2"/>
  <c r="K85" i="2"/>
  <c r="E85" i="2"/>
  <c r="T80" i="2"/>
  <c r="N80" i="2"/>
  <c r="K80" i="2"/>
  <c r="E80" i="2"/>
  <c r="T75" i="2"/>
  <c r="N75" i="2"/>
  <c r="K75" i="2"/>
  <c r="E75" i="2"/>
  <c r="T74" i="2"/>
  <c r="N74" i="2"/>
  <c r="K74" i="2"/>
  <c r="E74" i="2"/>
  <c r="T73" i="2"/>
  <c r="N73" i="2"/>
  <c r="K73" i="2"/>
  <c r="E73" i="2"/>
  <c r="T72" i="2"/>
  <c r="N72" i="2"/>
  <c r="K72" i="2"/>
  <c r="E72" i="2"/>
  <c r="T71" i="2"/>
  <c r="N71" i="2"/>
  <c r="K71" i="2"/>
  <c r="E71" i="2"/>
  <c r="T70" i="2"/>
  <c r="N70" i="2"/>
  <c r="K70" i="2"/>
  <c r="E70" i="2"/>
  <c r="T69" i="2"/>
  <c r="N69" i="2"/>
  <c r="K69" i="2"/>
  <c r="E69" i="2"/>
  <c r="T68" i="2"/>
  <c r="N68" i="2"/>
  <c r="K68" i="2"/>
  <c r="E68" i="2"/>
  <c r="T67" i="2"/>
  <c r="N67" i="2"/>
  <c r="K67" i="2"/>
  <c r="E67" i="2"/>
  <c r="T65" i="2"/>
  <c r="N65" i="2"/>
  <c r="K65" i="2"/>
  <c r="E65" i="2"/>
  <c r="T64" i="2"/>
  <c r="N64" i="2"/>
  <c r="K64" i="2"/>
  <c r="E64" i="2"/>
  <c r="T63" i="2"/>
  <c r="N63" i="2"/>
  <c r="K63" i="2"/>
  <c r="E63" i="2"/>
  <c r="T62" i="2"/>
  <c r="N62" i="2"/>
  <c r="K62" i="2"/>
  <c r="E62" i="2"/>
  <c r="T61" i="2"/>
  <c r="N61" i="2"/>
  <c r="K61" i="2"/>
  <c r="E61" i="2"/>
  <c r="T60" i="2"/>
  <c r="N60" i="2"/>
  <c r="K60" i="2"/>
  <c r="E60" i="2"/>
  <c r="T56" i="2"/>
  <c r="N56" i="2"/>
  <c r="K56" i="2"/>
  <c r="E56" i="2"/>
  <c r="T55" i="2"/>
  <c r="N55" i="2"/>
  <c r="K55" i="2"/>
  <c r="E55" i="2"/>
  <c r="T54" i="2"/>
  <c r="N54" i="2"/>
  <c r="K54" i="2"/>
  <c r="E54" i="2"/>
  <c r="T53" i="2"/>
  <c r="N53" i="2"/>
  <c r="K53" i="2"/>
  <c r="E53" i="2"/>
  <c r="T52" i="2"/>
  <c r="N52" i="2"/>
  <c r="K52" i="2"/>
  <c r="E52" i="2"/>
  <c r="T51" i="2"/>
  <c r="N51" i="2"/>
  <c r="K51" i="2"/>
  <c r="E51" i="2"/>
  <c r="T50" i="2"/>
  <c r="N50" i="2"/>
  <c r="K50" i="2"/>
  <c r="E50" i="2"/>
  <c r="T49" i="2"/>
  <c r="N49" i="2"/>
  <c r="K49" i="2"/>
  <c r="E49" i="2"/>
  <c r="T48" i="2"/>
  <c r="N48" i="2"/>
  <c r="K48" i="2"/>
  <c r="E48" i="2"/>
  <c r="T46" i="2"/>
  <c r="N46" i="2"/>
  <c r="K46" i="2"/>
  <c r="E46" i="2"/>
  <c r="T45" i="2"/>
  <c r="N45" i="2"/>
  <c r="K45" i="2"/>
  <c r="E45" i="2"/>
  <c r="T44" i="2"/>
  <c r="N44" i="2"/>
  <c r="K44" i="2"/>
  <c r="E44" i="2"/>
  <c r="T43" i="2"/>
  <c r="N43" i="2"/>
  <c r="K43" i="2"/>
  <c r="E43" i="2"/>
  <c r="T42" i="2"/>
  <c r="N42" i="2"/>
  <c r="K42" i="2"/>
  <c r="E42" i="2"/>
  <c r="T41" i="2"/>
  <c r="N41" i="2"/>
  <c r="K41" i="2"/>
  <c r="E41" i="2"/>
  <c r="T37" i="2"/>
  <c r="N37" i="2"/>
  <c r="K37" i="2"/>
  <c r="E37" i="2"/>
  <c r="T36" i="2"/>
  <c r="N36" i="2"/>
  <c r="K36" i="2"/>
  <c r="E36" i="2"/>
  <c r="T35" i="2"/>
  <c r="N35" i="2"/>
  <c r="K35" i="2"/>
  <c r="E35" i="2"/>
  <c r="T34" i="2"/>
  <c r="N34" i="2"/>
  <c r="K34" i="2"/>
  <c r="E34" i="2"/>
  <c r="T33" i="2"/>
  <c r="N33" i="2"/>
  <c r="K33" i="2"/>
  <c r="E33" i="2"/>
  <c r="T32" i="2"/>
  <c r="N32" i="2"/>
  <c r="K32" i="2"/>
  <c r="E32" i="2"/>
  <c r="T31" i="2"/>
  <c r="N31" i="2"/>
  <c r="K31" i="2"/>
  <c r="E31" i="2"/>
  <c r="T30" i="2"/>
  <c r="N30" i="2"/>
  <c r="K30" i="2"/>
  <c r="E30" i="2"/>
  <c r="T29" i="2"/>
  <c r="N29" i="2"/>
  <c r="K29" i="2"/>
  <c r="E29" i="2"/>
  <c r="T28" i="2"/>
  <c r="N28" i="2"/>
  <c r="K28" i="2"/>
  <c r="E28" i="2"/>
  <c r="T27" i="2"/>
  <c r="N27" i="2"/>
  <c r="K27" i="2"/>
  <c r="E27" i="2"/>
  <c r="T26" i="2"/>
  <c r="N26" i="2"/>
  <c r="K26" i="2"/>
  <c r="E26" i="2"/>
  <c r="T25" i="2"/>
  <c r="N25" i="2"/>
  <c r="K25" i="2"/>
  <c r="E25" i="2"/>
  <c r="T24" i="2"/>
  <c r="N24" i="2"/>
  <c r="K24" i="2"/>
  <c r="E24" i="2"/>
  <c r="T23" i="2"/>
  <c r="N23" i="2"/>
  <c r="K23" i="2"/>
  <c r="E23" i="2"/>
  <c r="T22" i="2"/>
  <c r="N22" i="2"/>
  <c r="K22" i="2"/>
  <c r="E22" i="2"/>
  <c r="T18" i="2"/>
  <c r="N18" i="2"/>
  <c r="K18" i="2"/>
  <c r="E18" i="2"/>
  <c r="T17" i="2"/>
  <c r="N17" i="2"/>
  <c r="K17" i="2"/>
  <c r="E17" i="2"/>
  <c r="T16" i="2"/>
  <c r="N16" i="2"/>
  <c r="K16" i="2"/>
  <c r="E16" i="2"/>
  <c r="T15" i="2"/>
  <c r="N15" i="2"/>
  <c r="K15" i="2"/>
  <c r="E15" i="2"/>
  <c r="T14" i="2"/>
  <c r="N14" i="2"/>
  <c r="K14" i="2"/>
  <c r="E14" i="2"/>
  <c r="T13" i="2"/>
  <c r="N13" i="2"/>
  <c r="K13" i="2"/>
  <c r="E13" i="2"/>
  <c r="T12" i="2"/>
  <c r="N12" i="2"/>
  <c r="K12" i="2"/>
  <c r="E12" i="2"/>
  <c r="T11" i="2"/>
  <c r="N11" i="2"/>
  <c r="K11" i="2"/>
  <c r="E11" i="2"/>
  <c r="T10" i="2"/>
  <c r="N10" i="2"/>
  <c r="K10" i="2"/>
  <c r="E10" i="2"/>
  <c r="T9" i="2"/>
  <c r="N9" i="2"/>
  <c r="K9" i="2"/>
  <c r="E9" i="2"/>
  <c r="T8" i="2"/>
  <c r="N8" i="2"/>
  <c r="K8" i="2"/>
  <c r="E8" i="2"/>
  <c r="T7" i="2"/>
  <c r="N7" i="2"/>
  <c r="K7" i="2"/>
  <c r="E7" i="2"/>
  <c r="T6" i="2"/>
  <c r="N6" i="2"/>
  <c r="K6" i="2"/>
  <c r="E6" i="2"/>
  <c r="T5" i="2"/>
  <c r="N5" i="2"/>
  <c r="K5" i="2"/>
  <c r="E5" i="2"/>
  <c r="T4" i="2"/>
  <c r="N4" i="2"/>
  <c r="K4" i="2"/>
  <c r="E4" i="2"/>
  <c r="T3" i="2"/>
  <c r="N3" i="2"/>
  <c r="K3" i="2"/>
  <c r="E3" i="2"/>
  <c r="T132" i="1"/>
  <c r="N132" i="1"/>
  <c r="K132" i="1"/>
  <c r="E132" i="1"/>
  <c r="T131" i="1"/>
  <c r="N131" i="1"/>
  <c r="K131" i="1"/>
  <c r="E131" i="1"/>
  <c r="T130" i="1"/>
  <c r="N130" i="1"/>
  <c r="K130" i="1"/>
  <c r="E130" i="1"/>
  <c r="T129" i="1"/>
  <c r="N129" i="1"/>
  <c r="K129" i="1"/>
  <c r="E129" i="1"/>
  <c r="T128" i="1"/>
  <c r="N128" i="1"/>
  <c r="K128" i="1"/>
  <c r="E128" i="1"/>
  <c r="T127" i="1"/>
  <c r="N127" i="1"/>
  <c r="K127" i="1"/>
  <c r="E127" i="1"/>
  <c r="T126" i="1"/>
  <c r="N126" i="1"/>
  <c r="K126" i="1"/>
  <c r="E126" i="1"/>
  <c r="T125" i="1"/>
  <c r="N125" i="1"/>
  <c r="K125" i="1"/>
  <c r="E125" i="1"/>
  <c r="T124" i="1"/>
  <c r="N124" i="1"/>
  <c r="K124" i="1"/>
  <c r="E124" i="1"/>
  <c r="T122" i="1"/>
  <c r="N122" i="1"/>
  <c r="K122" i="1"/>
  <c r="E122" i="1"/>
  <c r="T121" i="1"/>
  <c r="N121" i="1"/>
  <c r="K121" i="1"/>
  <c r="E121" i="1"/>
  <c r="T120" i="1"/>
  <c r="N120" i="1"/>
  <c r="K120" i="1"/>
  <c r="E120" i="1"/>
  <c r="T119" i="1"/>
  <c r="N119" i="1"/>
  <c r="K119" i="1"/>
  <c r="E119" i="1"/>
  <c r="T118" i="1"/>
  <c r="N118" i="1"/>
  <c r="K118" i="1"/>
  <c r="E118" i="1"/>
  <c r="T117" i="1"/>
  <c r="N117" i="1"/>
  <c r="K117" i="1"/>
  <c r="E117" i="1"/>
  <c r="T113" i="1"/>
  <c r="N113" i="1"/>
  <c r="K113" i="1"/>
  <c r="E113" i="1"/>
  <c r="T112" i="1"/>
  <c r="N112" i="1"/>
  <c r="K112" i="1"/>
  <c r="E112" i="1"/>
  <c r="T111" i="1"/>
  <c r="N111" i="1"/>
  <c r="K111" i="1"/>
  <c r="E111" i="1"/>
  <c r="T110" i="1"/>
  <c r="N110" i="1"/>
  <c r="K110" i="1"/>
  <c r="E110" i="1"/>
  <c r="T109" i="1"/>
  <c r="N109" i="1"/>
  <c r="K109" i="1"/>
  <c r="E109" i="1"/>
  <c r="T108" i="1"/>
  <c r="N108" i="1"/>
  <c r="K108" i="1"/>
  <c r="E108" i="1"/>
  <c r="T107" i="1"/>
  <c r="N107" i="1"/>
  <c r="K107" i="1"/>
  <c r="E107" i="1"/>
  <c r="T106" i="1"/>
  <c r="N106" i="1"/>
  <c r="K106" i="1"/>
  <c r="E106" i="1"/>
  <c r="T104" i="1"/>
  <c r="N104" i="1"/>
  <c r="K104" i="1"/>
  <c r="E104" i="1"/>
  <c r="T103" i="1"/>
  <c r="N103" i="1"/>
  <c r="K103" i="1"/>
  <c r="E103" i="1"/>
  <c r="T101" i="1"/>
  <c r="N101" i="1"/>
  <c r="K101" i="1"/>
  <c r="E101" i="1"/>
  <c r="T100" i="1"/>
  <c r="N100" i="1"/>
  <c r="K100" i="1"/>
  <c r="E100" i="1"/>
  <c r="T99" i="1"/>
  <c r="N99" i="1"/>
  <c r="K99" i="1"/>
  <c r="E99" i="1"/>
  <c r="T98" i="1"/>
  <c r="N98" i="1"/>
  <c r="K98" i="1"/>
  <c r="E98" i="1"/>
  <c r="T94" i="1"/>
  <c r="N94" i="1"/>
  <c r="E94" i="1"/>
  <c r="T92" i="1"/>
  <c r="N92" i="1"/>
  <c r="E92" i="1"/>
  <c r="T89" i="1"/>
  <c r="N89" i="1"/>
  <c r="K89" i="1"/>
  <c r="E89" i="1"/>
  <c r="T85" i="1"/>
  <c r="N85" i="1"/>
  <c r="K85" i="1"/>
  <c r="E85" i="1"/>
  <c r="T80" i="1"/>
  <c r="N80" i="1"/>
  <c r="K80" i="1"/>
  <c r="E80" i="1"/>
  <c r="T75" i="1"/>
  <c r="N75" i="1"/>
  <c r="K75" i="1"/>
  <c r="E75" i="1"/>
  <c r="T74" i="1"/>
  <c r="N74" i="1"/>
  <c r="K74" i="1"/>
  <c r="E74" i="1"/>
  <c r="T73" i="1"/>
  <c r="N73" i="1"/>
  <c r="K73" i="1"/>
  <c r="E73" i="1"/>
  <c r="T72" i="1"/>
  <c r="N72" i="1"/>
  <c r="K72" i="1"/>
  <c r="E72" i="1"/>
  <c r="T71" i="1"/>
  <c r="N71" i="1"/>
  <c r="K71" i="1"/>
  <c r="E71" i="1"/>
  <c r="T70" i="1"/>
  <c r="N70" i="1"/>
  <c r="K70" i="1"/>
  <c r="E70" i="1"/>
  <c r="T69" i="1"/>
  <c r="N69" i="1"/>
  <c r="K69" i="1"/>
  <c r="E69" i="1"/>
  <c r="T68" i="1"/>
  <c r="N68" i="1"/>
  <c r="K68" i="1"/>
  <c r="E68" i="1"/>
  <c r="T67" i="1"/>
  <c r="N67" i="1"/>
  <c r="K67" i="1"/>
  <c r="E67" i="1"/>
  <c r="T65" i="1"/>
  <c r="N65" i="1"/>
  <c r="K65" i="1"/>
  <c r="E65" i="1"/>
  <c r="T64" i="1"/>
  <c r="N64" i="1"/>
  <c r="K64" i="1"/>
  <c r="E64" i="1"/>
  <c r="T63" i="1"/>
  <c r="N63" i="1"/>
  <c r="K63" i="1"/>
  <c r="E63" i="1"/>
  <c r="T62" i="1"/>
  <c r="N62" i="1"/>
  <c r="K62" i="1"/>
  <c r="E62" i="1"/>
  <c r="T61" i="1"/>
  <c r="N61" i="1"/>
  <c r="K61" i="1"/>
  <c r="E61" i="1"/>
  <c r="T60" i="1"/>
  <c r="N60" i="1"/>
  <c r="K60" i="1"/>
  <c r="E60" i="1"/>
  <c r="T56" i="1"/>
  <c r="N56" i="1"/>
  <c r="K56" i="1"/>
  <c r="E56" i="1"/>
  <c r="T55" i="1"/>
  <c r="N55" i="1"/>
  <c r="K55" i="1"/>
  <c r="E55" i="1"/>
  <c r="T54" i="1"/>
  <c r="N54" i="1"/>
  <c r="K54" i="1"/>
  <c r="E54" i="1"/>
  <c r="T53" i="1"/>
  <c r="N53" i="1"/>
  <c r="K53" i="1"/>
  <c r="E53" i="1"/>
  <c r="T52" i="1"/>
  <c r="N52" i="1"/>
  <c r="K52" i="1"/>
  <c r="E52" i="1"/>
  <c r="T51" i="1"/>
  <c r="N51" i="1"/>
  <c r="K51" i="1"/>
  <c r="E51" i="1"/>
  <c r="T50" i="1"/>
  <c r="N50" i="1"/>
  <c r="K50" i="1"/>
  <c r="E50" i="1"/>
  <c r="T49" i="1"/>
  <c r="N49" i="1"/>
  <c r="K49" i="1"/>
  <c r="E49" i="1"/>
  <c r="T48" i="1"/>
  <c r="N48" i="1"/>
  <c r="K48" i="1"/>
  <c r="E48" i="1"/>
  <c r="T46" i="1"/>
  <c r="N46" i="1"/>
  <c r="K46" i="1"/>
  <c r="E46" i="1"/>
  <c r="T45" i="1"/>
  <c r="N45" i="1"/>
  <c r="K45" i="1"/>
  <c r="E45" i="1"/>
  <c r="T44" i="1"/>
  <c r="N44" i="1"/>
  <c r="K44" i="1"/>
  <c r="E44" i="1"/>
  <c r="T43" i="1"/>
  <c r="N43" i="1"/>
  <c r="K43" i="1"/>
  <c r="E43" i="1"/>
  <c r="T42" i="1"/>
  <c r="N42" i="1"/>
  <c r="K42" i="1"/>
  <c r="E42" i="1"/>
  <c r="T41" i="1"/>
  <c r="N41" i="1"/>
  <c r="K41" i="1"/>
  <c r="E41" i="1"/>
  <c r="T37" i="1"/>
  <c r="N37" i="1"/>
  <c r="K37" i="1"/>
  <c r="E37" i="1"/>
  <c r="T36" i="1"/>
  <c r="N36" i="1"/>
  <c r="K36" i="1"/>
  <c r="E36" i="1"/>
  <c r="T35" i="1"/>
  <c r="N35" i="1"/>
  <c r="K35" i="1"/>
  <c r="E35" i="1"/>
  <c r="T34" i="1"/>
  <c r="N34" i="1"/>
  <c r="K34" i="1"/>
  <c r="E34" i="1"/>
  <c r="T33" i="1"/>
  <c r="N33" i="1"/>
  <c r="K33" i="1"/>
  <c r="E33" i="1"/>
  <c r="T32" i="1"/>
  <c r="N32" i="1"/>
  <c r="K32" i="1"/>
  <c r="E32" i="1"/>
  <c r="T31" i="1"/>
  <c r="N31" i="1"/>
  <c r="K31" i="1"/>
  <c r="E31" i="1"/>
  <c r="T30" i="1"/>
  <c r="N30" i="1"/>
  <c r="K30" i="1"/>
  <c r="E30" i="1"/>
  <c r="T29" i="1"/>
  <c r="N29" i="1"/>
  <c r="K29" i="1"/>
  <c r="E29" i="1"/>
  <c r="T28" i="1"/>
  <c r="N28" i="1"/>
  <c r="K28" i="1"/>
  <c r="E28" i="1"/>
  <c r="T27" i="1"/>
  <c r="N27" i="1"/>
  <c r="K27" i="1"/>
  <c r="E27" i="1"/>
  <c r="T26" i="1"/>
  <c r="N26" i="1"/>
  <c r="K26" i="1"/>
  <c r="E26" i="1"/>
  <c r="T25" i="1"/>
  <c r="N25" i="1"/>
  <c r="K25" i="1"/>
  <c r="E25" i="1"/>
  <c r="T24" i="1"/>
  <c r="N24" i="1"/>
  <c r="K24" i="1"/>
  <c r="E24" i="1"/>
  <c r="T23" i="1"/>
  <c r="N23" i="1"/>
  <c r="K23" i="1"/>
  <c r="E23" i="1"/>
  <c r="T22" i="1"/>
  <c r="N22" i="1"/>
  <c r="K22" i="1"/>
  <c r="E22" i="1"/>
  <c r="T18" i="1"/>
  <c r="N18" i="1"/>
  <c r="K18" i="1"/>
  <c r="E18" i="1"/>
  <c r="T17" i="1"/>
  <c r="N17" i="1"/>
  <c r="K17" i="1"/>
  <c r="E17" i="1"/>
  <c r="T16" i="1"/>
  <c r="N16" i="1"/>
  <c r="K16" i="1"/>
  <c r="E16" i="1"/>
  <c r="T15" i="1"/>
  <c r="N15" i="1"/>
  <c r="K15" i="1"/>
  <c r="E15" i="1"/>
  <c r="T14" i="1"/>
  <c r="N14" i="1"/>
  <c r="K14" i="1"/>
  <c r="E14" i="1"/>
  <c r="T13" i="1"/>
  <c r="N13" i="1"/>
  <c r="K13" i="1"/>
  <c r="E13" i="1"/>
  <c r="T12" i="1"/>
  <c r="N12" i="1"/>
  <c r="K12" i="1"/>
  <c r="E12" i="1"/>
  <c r="T11" i="1"/>
  <c r="N11" i="1"/>
  <c r="K11" i="1"/>
  <c r="E11" i="1"/>
  <c r="T10" i="1"/>
  <c r="N10" i="1"/>
  <c r="K10" i="1"/>
  <c r="E10" i="1"/>
  <c r="T9" i="1"/>
  <c r="N9" i="1"/>
  <c r="K9" i="1"/>
  <c r="E9" i="1"/>
  <c r="T8" i="1"/>
  <c r="N8" i="1"/>
  <c r="K8" i="1"/>
  <c r="E8" i="1"/>
  <c r="T7" i="1"/>
  <c r="N7" i="1"/>
  <c r="K7" i="1"/>
  <c r="E7" i="1"/>
  <c r="T6" i="1"/>
  <c r="N6" i="1"/>
  <c r="K6" i="1"/>
  <c r="E6" i="1"/>
  <c r="T5" i="1"/>
  <c r="N5" i="1"/>
  <c r="K5" i="1"/>
  <c r="E5" i="1"/>
  <c r="T4" i="1"/>
  <c r="N4" i="1"/>
  <c r="K4" i="1"/>
  <c r="E4" i="1"/>
  <c r="T3" i="1"/>
  <c r="N3" i="1"/>
  <c r="K3" i="1"/>
  <c r="E3" i="1"/>
  <c r="T132" i="12"/>
  <c r="N132" i="12"/>
  <c r="K132" i="12"/>
  <c r="E132" i="12"/>
  <c r="T130" i="12"/>
  <c r="N130" i="12"/>
  <c r="K130" i="12"/>
  <c r="E130" i="12"/>
  <c r="T129" i="12"/>
  <c r="E129" i="12"/>
  <c r="T128" i="12"/>
  <c r="N128" i="12"/>
  <c r="K128" i="12"/>
  <c r="E128" i="12"/>
  <c r="T127" i="12"/>
  <c r="N127" i="12"/>
  <c r="K127" i="12"/>
  <c r="E127" i="12"/>
  <c r="T126" i="12"/>
  <c r="K126" i="12"/>
  <c r="E126" i="12"/>
  <c r="N125" i="12"/>
  <c r="E125" i="12"/>
  <c r="T122" i="12"/>
  <c r="N122" i="12"/>
  <c r="K122" i="12"/>
  <c r="E122" i="12"/>
  <c r="T121" i="12"/>
  <c r="N121" i="12"/>
  <c r="K121" i="12"/>
  <c r="E121" i="12"/>
  <c r="T119" i="12"/>
  <c r="N119" i="12"/>
  <c r="K119" i="12"/>
  <c r="E119" i="12"/>
  <c r="T118" i="12"/>
  <c r="N118" i="12"/>
  <c r="K118" i="12"/>
  <c r="E118" i="12"/>
  <c r="T117" i="12"/>
  <c r="K117" i="12"/>
  <c r="T113" i="12"/>
  <c r="N113" i="12"/>
  <c r="K113" i="12"/>
  <c r="E113" i="12"/>
  <c r="T112" i="12"/>
  <c r="N112" i="12"/>
  <c r="K112" i="12"/>
  <c r="E112" i="12"/>
  <c r="T111" i="12"/>
  <c r="N111" i="12"/>
  <c r="K111" i="12"/>
  <c r="E111" i="12"/>
  <c r="T110" i="12"/>
  <c r="N110" i="12"/>
  <c r="K110" i="12"/>
  <c r="E110" i="12"/>
  <c r="T109" i="12"/>
  <c r="N109" i="12"/>
  <c r="K109" i="12"/>
  <c r="E109" i="12"/>
  <c r="T108" i="12"/>
  <c r="N108" i="12"/>
  <c r="K108" i="12"/>
  <c r="E108" i="12"/>
  <c r="T107" i="12"/>
  <c r="N107" i="12"/>
  <c r="K107" i="12"/>
  <c r="E107" i="12"/>
  <c r="T106" i="12"/>
  <c r="K106" i="12"/>
  <c r="E106" i="12"/>
  <c r="T104" i="12"/>
  <c r="N104" i="12"/>
  <c r="K104" i="12"/>
  <c r="E104" i="12"/>
  <c r="T103" i="12"/>
  <c r="N103" i="12"/>
  <c r="K103" i="12"/>
  <c r="E103" i="12"/>
  <c r="T101" i="12"/>
  <c r="N101" i="12"/>
  <c r="K101" i="12"/>
  <c r="E101" i="12"/>
  <c r="T100" i="12"/>
  <c r="N100" i="12"/>
  <c r="K100" i="12"/>
  <c r="E100" i="12"/>
  <c r="T99" i="12"/>
  <c r="K99" i="12"/>
  <c r="E99" i="12"/>
  <c r="N98" i="12"/>
  <c r="T94" i="12"/>
  <c r="N94" i="12"/>
  <c r="E94" i="12"/>
  <c r="T92" i="12"/>
  <c r="N92" i="12"/>
  <c r="E92" i="12"/>
  <c r="T89" i="12"/>
  <c r="N89" i="12"/>
  <c r="K89" i="12"/>
  <c r="E89" i="12"/>
  <c r="T85" i="12"/>
  <c r="N85" i="12"/>
  <c r="K85" i="12"/>
  <c r="E85" i="12"/>
  <c r="T80" i="12"/>
  <c r="N80" i="12"/>
  <c r="K80" i="12"/>
  <c r="E80" i="12"/>
  <c r="T75" i="12"/>
  <c r="N75" i="12"/>
  <c r="K75" i="12"/>
  <c r="E75" i="12"/>
  <c r="T73" i="12"/>
  <c r="N73" i="12"/>
  <c r="K73" i="12"/>
  <c r="E73" i="12"/>
  <c r="T72" i="12"/>
  <c r="N72" i="12"/>
  <c r="K72" i="12"/>
  <c r="E72" i="12"/>
  <c r="T71" i="12"/>
  <c r="N71" i="12"/>
  <c r="K71" i="12"/>
  <c r="E71" i="12"/>
  <c r="T70" i="12"/>
  <c r="K70" i="12"/>
  <c r="E70" i="12"/>
  <c r="T69" i="12"/>
  <c r="N69" i="12"/>
  <c r="K69" i="12"/>
  <c r="E69" i="12"/>
  <c r="T68" i="12"/>
  <c r="N68" i="12"/>
  <c r="K68" i="12"/>
  <c r="E68" i="12"/>
  <c r="T65" i="12"/>
  <c r="N65" i="12"/>
  <c r="K65" i="12"/>
  <c r="E65" i="12"/>
  <c r="T62" i="12"/>
  <c r="N62" i="12"/>
  <c r="K62" i="12"/>
  <c r="E62" i="12"/>
  <c r="T61" i="12"/>
  <c r="N61" i="12"/>
  <c r="K61" i="12"/>
  <c r="E61" i="12"/>
  <c r="T60" i="12"/>
  <c r="K60" i="12"/>
  <c r="T56" i="12"/>
  <c r="N56" i="12"/>
  <c r="K56" i="12"/>
  <c r="E56" i="12"/>
  <c r="T55" i="12"/>
  <c r="N55" i="12"/>
  <c r="K55" i="12"/>
  <c r="E55" i="12"/>
  <c r="T54" i="12"/>
  <c r="N54" i="12"/>
  <c r="K54" i="12"/>
  <c r="E54" i="12"/>
  <c r="T53" i="12"/>
  <c r="N53" i="12"/>
  <c r="K53" i="12"/>
  <c r="E53" i="12"/>
  <c r="T52" i="12"/>
  <c r="N52" i="12"/>
  <c r="K52" i="12"/>
  <c r="E52" i="12"/>
  <c r="T51" i="12"/>
  <c r="N51" i="12"/>
  <c r="K51" i="12"/>
  <c r="E51" i="12"/>
  <c r="T50" i="12"/>
  <c r="N50" i="12"/>
  <c r="K50" i="12"/>
  <c r="E50" i="12"/>
  <c r="T49" i="12"/>
  <c r="N49" i="12"/>
  <c r="K49" i="12"/>
  <c r="E49" i="12"/>
  <c r="T46" i="12"/>
  <c r="N46" i="12"/>
  <c r="K46" i="12"/>
  <c r="E46" i="12"/>
  <c r="T45" i="12"/>
  <c r="N45" i="12"/>
  <c r="K45" i="12"/>
  <c r="E45" i="12"/>
  <c r="T44" i="12"/>
  <c r="N44" i="12"/>
  <c r="K44" i="12"/>
  <c r="E44" i="12"/>
  <c r="T43" i="12"/>
  <c r="N43" i="12"/>
  <c r="K43" i="12"/>
  <c r="E43" i="12"/>
  <c r="T42" i="12"/>
  <c r="N42" i="12"/>
  <c r="K42" i="12"/>
  <c r="E42" i="12"/>
  <c r="T41" i="12"/>
  <c r="K41" i="12"/>
  <c r="E41" i="12"/>
  <c r="T37" i="12"/>
  <c r="N37" i="12"/>
  <c r="K37" i="12"/>
  <c r="E37" i="12"/>
  <c r="T36" i="12"/>
  <c r="N36" i="12"/>
  <c r="K36" i="12"/>
  <c r="E36" i="12"/>
  <c r="T35" i="12"/>
  <c r="N35" i="12"/>
  <c r="K35" i="12"/>
  <c r="E35" i="12"/>
  <c r="T34" i="12"/>
  <c r="N34" i="12"/>
  <c r="K34" i="12"/>
  <c r="E34" i="12"/>
  <c r="T33" i="12"/>
  <c r="N33" i="12"/>
  <c r="K33" i="12"/>
  <c r="E33" i="12"/>
  <c r="T32" i="12"/>
  <c r="N32" i="12"/>
  <c r="K32" i="12"/>
  <c r="E32" i="12"/>
  <c r="T31" i="12"/>
  <c r="N31" i="12"/>
  <c r="K31" i="12"/>
  <c r="E31" i="12"/>
  <c r="T30" i="12"/>
  <c r="N30" i="12"/>
  <c r="K30" i="12"/>
  <c r="E30" i="12"/>
  <c r="T28" i="12"/>
  <c r="N28" i="12"/>
  <c r="K28" i="12"/>
  <c r="E28" i="12"/>
  <c r="T27" i="12"/>
  <c r="N27" i="12"/>
  <c r="K27" i="12"/>
  <c r="E27" i="12"/>
  <c r="T26" i="12"/>
  <c r="N26" i="12"/>
  <c r="K26" i="12"/>
  <c r="E26" i="12"/>
  <c r="T25" i="12"/>
  <c r="N25" i="12"/>
  <c r="K25" i="12"/>
  <c r="E25" i="12"/>
  <c r="T24" i="12"/>
  <c r="N24" i="12"/>
  <c r="K24" i="12"/>
  <c r="E24" i="12"/>
  <c r="T23" i="12"/>
  <c r="N23" i="12"/>
  <c r="K23" i="12"/>
  <c r="E23" i="12"/>
  <c r="T18" i="12"/>
  <c r="N18" i="12"/>
  <c r="K18" i="12"/>
  <c r="E18" i="12"/>
  <c r="T17" i="12"/>
  <c r="N17" i="12"/>
  <c r="K17" i="12"/>
  <c r="E17" i="12"/>
  <c r="T16" i="12"/>
  <c r="N16" i="12"/>
  <c r="K16" i="12"/>
  <c r="E16" i="12"/>
  <c r="T15" i="12"/>
  <c r="N15" i="12"/>
  <c r="K15" i="12"/>
  <c r="E15" i="12"/>
  <c r="T14" i="12"/>
  <c r="N14" i="12"/>
  <c r="K14" i="12"/>
  <c r="E14" i="12"/>
  <c r="T13" i="12"/>
  <c r="N13" i="12"/>
  <c r="K13" i="12"/>
  <c r="E13" i="12"/>
  <c r="T12" i="12"/>
  <c r="N12" i="12"/>
  <c r="K12" i="12"/>
  <c r="E12" i="12"/>
  <c r="T11" i="12"/>
  <c r="N11" i="12"/>
  <c r="K11" i="12"/>
  <c r="E11" i="12"/>
  <c r="T9" i="12"/>
  <c r="N9" i="12"/>
  <c r="K9" i="12"/>
  <c r="E9" i="12"/>
  <c r="T8" i="12"/>
  <c r="N8" i="12"/>
  <c r="K8" i="12"/>
  <c r="E8" i="12"/>
  <c r="T7" i="12"/>
  <c r="N7" i="12"/>
  <c r="K7" i="12"/>
  <c r="E7" i="12"/>
  <c r="T6" i="12"/>
  <c r="N6" i="12"/>
  <c r="K6" i="12"/>
  <c r="E6" i="12"/>
  <c r="T5" i="12"/>
  <c r="N5" i="12"/>
  <c r="K5" i="12"/>
  <c r="E5" i="12"/>
  <c r="T4" i="12"/>
  <c r="N4" i="12"/>
  <c r="K4" i="12"/>
  <c r="E4" i="12"/>
  <c r="T3" i="12"/>
  <c r="K3" i="12"/>
  <c r="E3" i="12"/>
  <c r="T132" i="11"/>
  <c r="N132" i="11"/>
  <c r="K132" i="11"/>
  <c r="E132" i="11"/>
  <c r="T131" i="11"/>
  <c r="N131" i="11"/>
  <c r="K131" i="11"/>
  <c r="E131" i="11"/>
  <c r="T130" i="11"/>
  <c r="N130" i="11"/>
  <c r="K130" i="11"/>
  <c r="E130" i="11"/>
  <c r="T129" i="11"/>
  <c r="N129" i="11"/>
  <c r="K129" i="11"/>
  <c r="E129" i="11"/>
  <c r="T128" i="11"/>
  <c r="N128" i="11"/>
  <c r="K128" i="11"/>
  <c r="E128" i="11"/>
  <c r="T127" i="11"/>
  <c r="N127" i="11"/>
  <c r="K127" i="11"/>
  <c r="E127" i="11"/>
  <c r="T126" i="11"/>
  <c r="N126" i="11"/>
  <c r="K126" i="11"/>
  <c r="E126" i="11"/>
  <c r="T125" i="11"/>
  <c r="N125" i="11"/>
  <c r="K125" i="11"/>
  <c r="E125" i="11"/>
  <c r="T124" i="11"/>
  <c r="N124" i="11"/>
  <c r="K124" i="11"/>
  <c r="E124" i="11"/>
  <c r="T122" i="11"/>
  <c r="N122" i="11"/>
  <c r="K122" i="11"/>
  <c r="E122" i="11"/>
  <c r="T121" i="11"/>
  <c r="N121" i="11"/>
  <c r="K121" i="11"/>
  <c r="E121" i="11"/>
  <c r="T120" i="11"/>
  <c r="N120" i="11"/>
  <c r="K120" i="11"/>
  <c r="E120" i="11"/>
  <c r="T119" i="11"/>
  <c r="N119" i="11"/>
  <c r="K119" i="11"/>
  <c r="E119" i="11"/>
  <c r="T118" i="11"/>
  <c r="N118" i="11"/>
  <c r="K118" i="11"/>
  <c r="E118" i="11"/>
  <c r="T117" i="11"/>
  <c r="N117" i="11"/>
  <c r="K117" i="11"/>
  <c r="E117" i="11"/>
  <c r="T113" i="11"/>
  <c r="N113" i="11"/>
  <c r="K113" i="11"/>
  <c r="E113" i="11"/>
  <c r="T112" i="11"/>
  <c r="N112" i="11"/>
  <c r="K112" i="11"/>
  <c r="E112" i="11"/>
  <c r="T111" i="11"/>
  <c r="N111" i="11"/>
  <c r="K111" i="11"/>
  <c r="E111" i="11"/>
  <c r="T110" i="11"/>
  <c r="N110" i="11"/>
  <c r="K110" i="11"/>
  <c r="E110" i="11"/>
  <c r="T109" i="11"/>
  <c r="N109" i="11"/>
  <c r="K109" i="11"/>
  <c r="E109" i="11"/>
  <c r="T108" i="11"/>
  <c r="N108" i="11"/>
  <c r="K108" i="11"/>
  <c r="E108" i="11"/>
  <c r="T107" i="11"/>
  <c r="N107" i="11"/>
  <c r="K107" i="11"/>
  <c r="E107" i="11"/>
  <c r="T106" i="11"/>
  <c r="N106" i="11"/>
  <c r="K106" i="11"/>
  <c r="E106" i="11"/>
  <c r="T104" i="11"/>
  <c r="N104" i="11"/>
  <c r="K104" i="11"/>
  <c r="E104" i="11"/>
  <c r="T103" i="11"/>
  <c r="N103" i="11"/>
  <c r="K103" i="11"/>
  <c r="E103" i="11"/>
  <c r="T101" i="11"/>
  <c r="N101" i="11"/>
  <c r="K101" i="11"/>
  <c r="E101" i="11"/>
  <c r="T100" i="11"/>
  <c r="N100" i="11"/>
  <c r="K100" i="11"/>
  <c r="E100" i="11"/>
  <c r="T99" i="11"/>
  <c r="N99" i="11"/>
  <c r="K99" i="11"/>
  <c r="E99" i="11"/>
  <c r="T98" i="11"/>
  <c r="N98" i="11"/>
  <c r="K98" i="11"/>
  <c r="E98" i="11"/>
  <c r="T94" i="11"/>
  <c r="N94" i="11"/>
  <c r="E94" i="11"/>
  <c r="T92" i="11"/>
  <c r="N92" i="11"/>
  <c r="E92" i="11"/>
  <c r="T89" i="11"/>
  <c r="N89" i="11"/>
  <c r="K89" i="11"/>
  <c r="E89" i="11"/>
  <c r="T85" i="11"/>
  <c r="N85" i="11"/>
  <c r="K85" i="11"/>
  <c r="E85" i="11"/>
  <c r="T80" i="11"/>
  <c r="N80" i="11"/>
  <c r="K80" i="11"/>
  <c r="E80" i="11"/>
  <c r="T75" i="11"/>
  <c r="N75" i="11"/>
  <c r="K75" i="11"/>
  <c r="E75" i="11"/>
  <c r="T74" i="11"/>
  <c r="N74" i="11"/>
  <c r="K74" i="11"/>
  <c r="E74" i="11"/>
  <c r="T73" i="11"/>
  <c r="N73" i="11"/>
  <c r="K73" i="11"/>
  <c r="E73" i="11"/>
  <c r="T72" i="11"/>
  <c r="N72" i="11"/>
  <c r="K72" i="11"/>
  <c r="E72" i="11"/>
  <c r="T71" i="11"/>
  <c r="N71" i="11"/>
  <c r="K71" i="11"/>
  <c r="E71" i="11"/>
  <c r="T70" i="11"/>
  <c r="N70" i="11"/>
  <c r="K70" i="11"/>
  <c r="E70" i="11"/>
  <c r="T69" i="11"/>
  <c r="N69" i="11"/>
  <c r="K69" i="11"/>
  <c r="E69" i="11"/>
  <c r="T68" i="11"/>
  <c r="N68" i="11"/>
  <c r="K68" i="11"/>
  <c r="E68" i="11"/>
  <c r="T67" i="11"/>
  <c r="N67" i="11"/>
  <c r="K67" i="11"/>
  <c r="E67" i="11"/>
  <c r="T65" i="11"/>
  <c r="N65" i="11"/>
  <c r="K65" i="11"/>
  <c r="E65" i="11"/>
  <c r="T64" i="11"/>
  <c r="N64" i="11"/>
  <c r="K64" i="11"/>
  <c r="E64" i="11"/>
  <c r="T63" i="11"/>
  <c r="N63" i="11"/>
  <c r="K63" i="11"/>
  <c r="E63" i="11"/>
  <c r="T62" i="11"/>
  <c r="N62" i="11"/>
  <c r="K62" i="11"/>
  <c r="E62" i="11"/>
  <c r="T61" i="11"/>
  <c r="N61" i="11"/>
  <c r="K61" i="11"/>
  <c r="E61" i="11"/>
  <c r="T60" i="11"/>
  <c r="N60" i="11"/>
  <c r="K60" i="11"/>
  <c r="E60" i="11"/>
  <c r="T56" i="11"/>
  <c r="N56" i="11"/>
  <c r="K56" i="11"/>
  <c r="E56" i="11"/>
  <c r="T55" i="11"/>
  <c r="N55" i="11"/>
  <c r="K55" i="11"/>
  <c r="E55" i="11"/>
  <c r="T54" i="11"/>
  <c r="N54" i="11"/>
  <c r="K54" i="11"/>
  <c r="E54" i="11"/>
  <c r="T53" i="11"/>
  <c r="N53" i="11"/>
  <c r="K53" i="11"/>
  <c r="E53" i="11"/>
  <c r="T52" i="11"/>
  <c r="N52" i="11"/>
  <c r="K52" i="11"/>
  <c r="E52" i="11"/>
  <c r="T51" i="11"/>
  <c r="N51" i="11"/>
  <c r="K51" i="11"/>
  <c r="E51" i="11"/>
  <c r="T50" i="11"/>
  <c r="N50" i="11"/>
  <c r="K50" i="11"/>
  <c r="E50" i="11"/>
  <c r="T49" i="11"/>
  <c r="N49" i="11"/>
  <c r="K49" i="11"/>
  <c r="E49" i="11"/>
  <c r="T48" i="11"/>
  <c r="N48" i="11"/>
  <c r="K48" i="11"/>
  <c r="E48" i="11"/>
  <c r="T46" i="11"/>
  <c r="N46" i="11"/>
  <c r="K46" i="11"/>
  <c r="E46" i="11"/>
  <c r="T45" i="11"/>
  <c r="N45" i="11"/>
  <c r="K45" i="11"/>
  <c r="E45" i="11"/>
  <c r="T44" i="11"/>
  <c r="N44" i="11"/>
  <c r="K44" i="11"/>
  <c r="E44" i="11"/>
  <c r="T43" i="11"/>
  <c r="N43" i="11"/>
  <c r="K43" i="11"/>
  <c r="E43" i="11"/>
  <c r="T42" i="11"/>
  <c r="N42" i="11"/>
  <c r="K42" i="11"/>
  <c r="E42" i="11"/>
  <c r="T41" i="11"/>
  <c r="N41" i="11"/>
  <c r="K41" i="11"/>
  <c r="E41" i="11"/>
  <c r="T37" i="11"/>
  <c r="N37" i="11"/>
  <c r="K37" i="11"/>
  <c r="E37" i="11"/>
  <c r="T36" i="11"/>
  <c r="N36" i="11"/>
  <c r="K36" i="11"/>
  <c r="E36" i="11"/>
  <c r="T35" i="11"/>
  <c r="N35" i="11"/>
  <c r="K35" i="11"/>
  <c r="E35" i="11"/>
  <c r="T34" i="11"/>
  <c r="N34" i="11"/>
  <c r="K34" i="11"/>
  <c r="E34" i="11"/>
  <c r="T33" i="11"/>
  <c r="N33" i="11"/>
  <c r="K33" i="11"/>
  <c r="E33" i="11"/>
  <c r="T32" i="11"/>
  <c r="N32" i="11"/>
  <c r="K32" i="11"/>
  <c r="E32" i="11"/>
  <c r="T31" i="11"/>
  <c r="N31" i="11"/>
  <c r="K31" i="11"/>
  <c r="E31" i="11"/>
  <c r="T30" i="11"/>
  <c r="N30" i="11"/>
  <c r="K30" i="11"/>
  <c r="E30" i="11"/>
  <c r="T29" i="11"/>
  <c r="N29" i="11"/>
  <c r="K29" i="11"/>
  <c r="E29" i="11"/>
  <c r="T28" i="11"/>
  <c r="N28" i="11"/>
  <c r="K28" i="11"/>
  <c r="E28" i="11"/>
  <c r="T27" i="11"/>
  <c r="N27" i="11"/>
  <c r="K27" i="11"/>
  <c r="E27" i="11"/>
  <c r="T26" i="11"/>
  <c r="N26" i="11"/>
  <c r="K26" i="11"/>
  <c r="E26" i="11"/>
  <c r="T25" i="11"/>
  <c r="N25" i="11"/>
  <c r="K25" i="11"/>
  <c r="E25" i="11"/>
  <c r="T24" i="11"/>
  <c r="N24" i="11"/>
  <c r="K24" i="11"/>
  <c r="E24" i="11"/>
  <c r="T23" i="11"/>
  <c r="N23" i="11"/>
  <c r="K23" i="11"/>
  <c r="E23" i="11"/>
  <c r="T22" i="11"/>
  <c r="N22" i="11"/>
  <c r="K22" i="11"/>
  <c r="E22" i="11"/>
  <c r="T18" i="11"/>
  <c r="N18" i="11"/>
  <c r="K18" i="11"/>
  <c r="E18" i="11"/>
  <c r="T17" i="11"/>
  <c r="N17" i="11"/>
  <c r="K17" i="11"/>
  <c r="E17" i="11"/>
  <c r="T16" i="11"/>
  <c r="N16" i="11"/>
  <c r="K16" i="11"/>
  <c r="E16" i="11"/>
  <c r="T15" i="11"/>
  <c r="N15" i="11"/>
  <c r="K15" i="11"/>
  <c r="E15" i="11"/>
  <c r="T14" i="11"/>
  <c r="N14" i="11"/>
  <c r="K14" i="11"/>
  <c r="E14" i="11"/>
  <c r="T13" i="11"/>
  <c r="N13" i="11"/>
  <c r="K13" i="11"/>
  <c r="E13" i="11"/>
  <c r="T12" i="11"/>
  <c r="N12" i="11"/>
  <c r="K12" i="11"/>
  <c r="E12" i="11"/>
  <c r="T11" i="11"/>
  <c r="N11" i="11"/>
  <c r="K11" i="11"/>
  <c r="E11" i="11"/>
  <c r="T10" i="11"/>
  <c r="N10" i="11"/>
  <c r="K10" i="11"/>
  <c r="E10" i="11"/>
  <c r="T9" i="11"/>
  <c r="N9" i="11"/>
  <c r="K9" i="11"/>
  <c r="E9" i="11"/>
  <c r="T8" i="11"/>
  <c r="N8" i="11"/>
  <c r="K8" i="11"/>
  <c r="E8" i="11"/>
  <c r="T7" i="11"/>
  <c r="N7" i="11"/>
  <c r="K7" i="11"/>
  <c r="E7" i="11"/>
  <c r="T6" i="11"/>
  <c r="N6" i="11"/>
  <c r="K6" i="11"/>
  <c r="E6" i="11"/>
  <c r="T5" i="11"/>
  <c r="N5" i="11"/>
  <c r="K5" i="11"/>
  <c r="E5" i="11"/>
  <c r="T4" i="11"/>
  <c r="N4" i="11"/>
  <c r="K4" i="11"/>
  <c r="E4" i="11"/>
  <c r="T3" i="11"/>
  <c r="N3" i="11"/>
  <c r="K3" i="11"/>
  <c r="E3" i="11"/>
  <c r="T132" i="10"/>
  <c r="N132" i="10"/>
  <c r="K132" i="10"/>
  <c r="E132" i="10"/>
  <c r="T131" i="10"/>
  <c r="N131" i="10"/>
  <c r="K131" i="10"/>
  <c r="E131" i="10"/>
  <c r="T130" i="10"/>
  <c r="N130" i="10"/>
  <c r="K130" i="10"/>
  <c r="E130" i="10"/>
  <c r="T129" i="10"/>
  <c r="N129" i="10"/>
  <c r="K129" i="10"/>
  <c r="E129" i="10"/>
  <c r="T128" i="10"/>
  <c r="N128" i="10"/>
  <c r="K128" i="10"/>
  <c r="E128" i="10"/>
  <c r="T127" i="10"/>
  <c r="N127" i="10"/>
  <c r="K127" i="10"/>
  <c r="E127" i="10"/>
  <c r="T126" i="10"/>
  <c r="N126" i="10"/>
  <c r="K126" i="10"/>
  <c r="E126" i="10"/>
  <c r="T125" i="10"/>
  <c r="N125" i="10"/>
  <c r="K125" i="10"/>
  <c r="E125" i="10"/>
  <c r="T124" i="10"/>
  <c r="N124" i="10"/>
  <c r="K124" i="10"/>
  <c r="E124" i="10"/>
  <c r="T122" i="10"/>
  <c r="N122" i="10"/>
  <c r="K122" i="10"/>
  <c r="E122" i="10"/>
  <c r="T121" i="10"/>
  <c r="N121" i="10"/>
  <c r="K121" i="10"/>
  <c r="E121" i="10"/>
  <c r="T120" i="10"/>
  <c r="N120" i="10"/>
  <c r="K120" i="10"/>
  <c r="E120" i="10"/>
  <c r="T119" i="10"/>
  <c r="N119" i="10"/>
  <c r="K119" i="10"/>
  <c r="E119" i="10"/>
  <c r="T118" i="10"/>
  <c r="N118" i="10"/>
  <c r="K118" i="10"/>
  <c r="E118" i="10"/>
  <c r="T117" i="10"/>
  <c r="N117" i="10"/>
  <c r="K117" i="10"/>
  <c r="E117" i="10"/>
  <c r="T113" i="10"/>
  <c r="N113" i="10"/>
  <c r="K113" i="10"/>
  <c r="E113" i="10"/>
  <c r="T112" i="10"/>
  <c r="N112" i="10"/>
  <c r="K112" i="10"/>
  <c r="E112" i="10"/>
  <c r="T111" i="10"/>
  <c r="N111" i="10"/>
  <c r="K111" i="10"/>
  <c r="E111" i="10"/>
  <c r="T110" i="10"/>
  <c r="N110" i="10"/>
  <c r="K110" i="10"/>
  <c r="E110" i="10"/>
  <c r="T109" i="10"/>
  <c r="N109" i="10"/>
  <c r="K109" i="10"/>
  <c r="E109" i="10"/>
  <c r="T108" i="10"/>
  <c r="N108" i="10"/>
  <c r="K108" i="10"/>
  <c r="E108" i="10"/>
  <c r="T107" i="10"/>
  <c r="N107" i="10"/>
  <c r="K107" i="10"/>
  <c r="E107" i="10"/>
  <c r="T106" i="10"/>
  <c r="N106" i="10"/>
  <c r="K106" i="10"/>
  <c r="E106" i="10"/>
  <c r="T104" i="10"/>
  <c r="N104" i="10"/>
  <c r="K104" i="10"/>
  <c r="E104" i="10"/>
  <c r="T103" i="10"/>
  <c r="N103" i="10"/>
  <c r="K103" i="10"/>
  <c r="E103" i="10"/>
  <c r="T101" i="10"/>
  <c r="N101" i="10"/>
  <c r="K101" i="10"/>
  <c r="E101" i="10"/>
  <c r="T100" i="10"/>
  <c r="N100" i="10"/>
  <c r="K100" i="10"/>
  <c r="E100" i="10"/>
  <c r="T99" i="10"/>
  <c r="N99" i="10"/>
  <c r="K99" i="10"/>
  <c r="E99" i="10"/>
  <c r="T98" i="10"/>
  <c r="N98" i="10"/>
  <c r="K98" i="10"/>
  <c r="E98" i="10"/>
  <c r="T94" i="10"/>
  <c r="N94" i="10"/>
  <c r="E94" i="10"/>
  <c r="T92" i="10"/>
  <c r="N92" i="10"/>
  <c r="E92" i="10"/>
  <c r="T89" i="10"/>
  <c r="N89" i="10"/>
  <c r="K89" i="10"/>
  <c r="E89" i="10"/>
  <c r="T85" i="10"/>
  <c r="N85" i="10"/>
  <c r="K85" i="10"/>
  <c r="E85" i="10"/>
  <c r="T80" i="10"/>
  <c r="N80" i="10"/>
  <c r="K80" i="10"/>
  <c r="E80" i="10"/>
  <c r="T75" i="10"/>
  <c r="N75" i="10"/>
  <c r="K75" i="10"/>
  <c r="E75" i="10"/>
  <c r="T74" i="10"/>
  <c r="N74" i="10"/>
  <c r="K74" i="10"/>
  <c r="E74" i="10"/>
  <c r="T73" i="10"/>
  <c r="N73" i="10"/>
  <c r="K73" i="10"/>
  <c r="E73" i="10"/>
  <c r="T72" i="10"/>
  <c r="N72" i="10"/>
  <c r="K72" i="10"/>
  <c r="E72" i="10"/>
  <c r="T71" i="10"/>
  <c r="N71" i="10"/>
  <c r="K71" i="10"/>
  <c r="E71" i="10"/>
  <c r="T70" i="10"/>
  <c r="N70" i="10"/>
  <c r="K70" i="10"/>
  <c r="E70" i="10"/>
  <c r="T69" i="10"/>
  <c r="N69" i="10"/>
  <c r="K69" i="10"/>
  <c r="E69" i="10"/>
  <c r="T68" i="10"/>
  <c r="N68" i="10"/>
  <c r="K68" i="10"/>
  <c r="E68" i="10"/>
  <c r="T67" i="10"/>
  <c r="N67" i="10"/>
  <c r="K67" i="10"/>
  <c r="E67" i="10"/>
  <c r="T65" i="10"/>
  <c r="N65" i="10"/>
  <c r="K65" i="10"/>
  <c r="E65" i="10"/>
  <c r="T64" i="10"/>
  <c r="N64" i="10"/>
  <c r="K64" i="10"/>
  <c r="E64" i="10"/>
  <c r="T63" i="10"/>
  <c r="N63" i="10"/>
  <c r="K63" i="10"/>
  <c r="E63" i="10"/>
  <c r="T62" i="10"/>
  <c r="N62" i="10"/>
  <c r="K62" i="10"/>
  <c r="E62" i="10"/>
  <c r="T61" i="10"/>
  <c r="N61" i="10"/>
  <c r="K61" i="10"/>
  <c r="E61" i="10"/>
  <c r="T60" i="10"/>
  <c r="N60" i="10"/>
  <c r="K60" i="10"/>
  <c r="E60" i="10"/>
  <c r="T56" i="10"/>
  <c r="N56" i="10"/>
  <c r="K56" i="10"/>
  <c r="E56" i="10"/>
  <c r="T55" i="10"/>
  <c r="N55" i="10"/>
  <c r="K55" i="10"/>
  <c r="E55" i="10"/>
  <c r="T54" i="10"/>
  <c r="N54" i="10"/>
  <c r="K54" i="10"/>
  <c r="E54" i="10"/>
  <c r="T53" i="10"/>
  <c r="N53" i="10"/>
  <c r="K53" i="10"/>
  <c r="E53" i="10"/>
  <c r="T52" i="10"/>
  <c r="N52" i="10"/>
  <c r="K52" i="10"/>
  <c r="E52" i="10"/>
  <c r="T51" i="10"/>
  <c r="N51" i="10"/>
  <c r="K51" i="10"/>
  <c r="E51" i="10"/>
  <c r="T50" i="10"/>
  <c r="N50" i="10"/>
  <c r="K50" i="10"/>
  <c r="E50" i="10"/>
  <c r="T49" i="10"/>
  <c r="N49" i="10"/>
  <c r="K49" i="10"/>
  <c r="E49" i="10"/>
  <c r="T48" i="10"/>
  <c r="N48" i="10"/>
  <c r="K48" i="10"/>
  <c r="E48" i="10"/>
  <c r="T46" i="10"/>
  <c r="N46" i="10"/>
  <c r="K46" i="10"/>
  <c r="E46" i="10"/>
  <c r="T45" i="10"/>
  <c r="N45" i="10"/>
  <c r="K45" i="10"/>
  <c r="E45" i="10"/>
  <c r="T44" i="10"/>
  <c r="N44" i="10"/>
  <c r="K44" i="10"/>
  <c r="E44" i="10"/>
  <c r="T43" i="10"/>
  <c r="N43" i="10"/>
  <c r="K43" i="10"/>
  <c r="E43" i="10"/>
  <c r="T42" i="10"/>
  <c r="N42" i="10"/>
  <c r="K42" i="10"/>
  <c r="E42" i="10"/>
  <c r="T41" i="10"/>
  <c r="N41" i="10"/>
  <c r="K41" i="10"/>
  <c r="E41" i="10"/>
  <c r="T37" i="10"/>
  <c r="N37" i="10"/>
  <c r="K37" i="10"/>
  <c r="E37" i="10"/>
  <c r="T36" i="10"/>
  <c r="N36" i="10"/>
  <c r="K36" i="10"/>
  <c r="E36" i="10"/>
  <c r="T35" i="10"/>
  <c r="N35" i="10"/>
  <c r="K35" i="10"/>
  <c r="E35" i="10"/>
  <c r="T34" i="10"/>
  <c r="N34" i="10"/>
  <c r="K34" i="10"/>
  <c r="E34" i="10"/>
  <c r="T33" i="10"/>
  <c r="N33" i="10"/>
  <c r="K33" i="10"/>
  <c r="E33" i="10"/>
  <c r="T32" i="10"/>
  <c r="N32" i="10"/>
  <c r="K32" i="10"/>
  <c r="E32" i="10"/>
  <c r="T31" i="10"/>
  <c r="N31" i="10"/>
  <c r="K31" i="10"/>
  <c r="E31" i="10"/>
  <c r="T30" i="10"/>
  <c r="N30" i="10"/>
  <c r="K30" i="10"/>
  <c r="E30" i="10"/>
  <c r="T29" i="10"/>
  <c r="N29" i="10"/>
  <c r="K29" i="10"/>
  <c r="E29" i="10"/>
  <c r="T28" i="10"/>
  <c r="N28" i="10"/>
  <c r="K28" i="10"/>
  <c r="E28" i="10"/>
  <c r="T27" i="10"/>
  <c r="N27" i="10"/>
  <c r="K27" i="10"/>
  <c r="E27" i="10"/>
  <c r="T26" i="10"/>
  <c r="N26" i="10"/>
  <c r="K26" i="10"/>
  <c r="E26" i="10"/>
  <c r="T25" i="10"/>
  <c r="N25" i="10"/>
  <c r="K25" i="10"/>
  <c r="E25" i="10"/>
  <c r="T24" i="10"/>
  <c r="N24" i="10"/>
  <c r="K24" i="10"/>
  <c r="E24" i="10"/>
  <c r="T23" i="10"/>
  <c r="N23" i="10"/>
  <c r="K23" i="10"/>
  <c r="E23" i="10"/>
  <c r="T22" i="10"/>
  <c r="N22" i="10"/>
  <c r="K22" i="10"/>
  <c r="E22" i="10"/>
  <c r="T18" i="10"/>
  <c r="N18" i="10"/>
  <c r="K18" i="10"/>
  <c r="E18" i="10"/>
  <c r="T17" i="10"/>
  <c r="N17" i="10"/>
  <c r="K17" i="10"/>
  <c r="E17" i="10"/>
  <c r="T16" i="10"/>
  <c r="N16" i="10"/>
  <c r="K16" i="10"/>
  <c r="E16" i="10"/>
  <c r="T15" i="10"/>
  <c r="N15" i="10"/>
  <c r="K15" i="10"/>
  <c r="E15" i="10"/>
  <c r="T14" i="10"/>
  <c r="N14" i="10"/>
  <c r="K14" i="10"/>
  <c r="E14" i="10"/>
  <c r="T13" i="10"/>
  <c r="N13" i="10"/>
  <c r="K13" i="10"/>
  <c r="E13" i="10"/>
  <c r="T12" i="10"/>
  <c r="N12" i="10"/>
  <c r="K12" i="10"/>
  <c r="E12" i="10"/>
  <c r="T11" i="10"/>
  <c r="N11" i="10"/>
  <c r="K11" i="10"/>
  <c r="E11" i="10"/>
  <c r="T10" i="10"/>
  <c r="N10" i="10"/>
  <c r="K10" i="10"/>
  <c r="E10" i="10"/>
  <c r="T9" i="10"/>
  <c r="N9" i="10"/>
  <c r="K9" i="10"/>
  <c r="E9" i="10"/>
  <c r="T8" i="10"/>
  <c r="N8" i="10"/>
  <c r="K8" i="10"/>
  <c r="E8" i="10"/>
  <c r="T7" i="10"/>
  <c r="N7" i="10"/>
  <c r="K7" i="10"/>
  <c r="E7" i="10"/>
  <c r="T6" i="10"/>
  <c r="N6" i="10"/>
  <c r="K6" i="10"/>
  <c r="E6" i="10"/>
  <c r="T5" i="10"/>
  <c r="N5" i="10"/>
  <c r="K5" i="10"/>
  <c r="E5" i="10"/>
  <c r="T4" i="10"/>
  <c r="N4" i="10"/>
  <c r="K4" i="10"/>
  <c r="E4" i="10"/>
  <c r="T3" i="10"/>
  <c r="N3" i="10"/>
  <c r="K3" i="10"/>
  <c r="E3" i="10"/>
  <c r="T132" i="9"/>
  <c r="N132" i="9"/>
  <c r="K132" i="9"/>
  <c r="E132" i="9"/>
  <c r="T131" i="9"/>
  <c r="N131" i="9"/>
  <c r="K131" i="9"/>
  <c r="E131" i="9"/>
  <c r="T130" i="9"/>
  <c r="N130" i="9"/>
  <c r="K130" i="9"/>
  <c r="E130" i="9"/>
  <c r="T129" i="9"/>
  <c r="N129" i="9"/>
  <c r="K129" i="9"/>
  <c r="E129" i="9"/>
  <c r="T128" i="9"/>
  <c r="N128" i="9"/>
  <c r="K128" i="9"/>
  <c r="E128" i="9"/>
  <c r="T127" i="9"/>
  <c r="N127" i="9"/>
  <c r="K127" i="9"/>
  <c r="E127" i="9"/>
  <c r="T126" i="9"/>
  <c r="N126" i="9"/>
  <c r="K126" i="9"/>
  <c r="E126" i="9"/>
  <c r="T125" i="9"/>
  <c r="N125" i="9"/>
  <c r="K125" i="9"/>
  <c r="E125" i="9"/>
  <c r="T124" i="9"/>
  <c r="N124" i="9"/>
  <c r="K124" i="9"/>
  <c r="E124" i="9"/>
  <c r="T122" i="9"/>
  <c r="N122" i="9"/>
  <c r="K122" i="9"/>
  <c r="E122" i="9"/>
  <c r="T121" i="9"/>
  <c r="N121" i="9"/>
  <c r="K121" i="9"/>
  <c r="E121" i="9"/>
  <c r="T120" i="9"/>
  <c r="N120" i="9"/>
  <c r="K120" i="9"/>
  <c r="E120" i="9"/>
  <c r="T119" i="9"/>
  <c r="N119" i="9"/>
  <c r="K119" i="9"/>
  <c r="E119" i="9"/>
  <c r="T118" i="9"/>
  <c r="N118" i="9"/>
  <c r="K118" i="9"/>
  <c r="E118" i="9"/>
  <c r="T117" i="9"/>
  <c r="N117" i="9"/>
  <c r="K117" i="9"/>
  <c r="E117" i="9"/>
  <c r="T113" i="9"/>
  <c r="N113" i="9"/>
  <c r="K113" i="9"/>
  <c r="E113" i="9"/>
  <c r="T112" i="9"/>
  <c r="N112" i="9"/>
  <c r="K112" i="9"/>
  <c r="E112" i="9"/>
  <c r="T111" i="9"/>
  <c r="N111" i="9"/>
  <c r="K111" i="9"/>
  <c r="E111" i="9"/>
  <c r="T110" i="9"/>
  <c r="N110" i="9"/>
  <c r="K110" i="9"/>
  <c r="E110" i="9"/>
  <c r="T109" i="9"/>
  <c r="N109" i="9"/>
  <c r="K109" i="9"/>
  <c r="E109" i="9"/>
  <c r="T108" i="9"/>
  <c r="N108" i="9"/>
  <c r="K108" i="9"/>
  <c r="E108" i="9"/>
  <c r="T107" i="9"/>
  <c r="N107" i="9"/>
  <c r="K107" i="9"/>
  <c r="E107" i="9"/>
  <c r="T106" i="9"/>
  <c r="N106" i="9"/>
  <c r="K106" i="9"/>
  <c r="E106" i="9"/>
  <c r="T104" i="9"/>
  <c r="N104" i="9"/>
  <c r="K104" i="9"/>
  <c r="E104" i="9"/>
  <c r="T103" i="9"/>
  <c r="N103" i="9"/>
  <c r="K103" i="9"/>
  <c r="E103" i="9"/>
  <c r="T101" i="9"/>
  <c r="N101" i="9"/>
  <c r="K101" i="9"/>
  <c r="E101" i="9"/>
  <c r="T100" i="9"/>
  <c r="N100" i="9"/>
  <c r="K100" i="9"/>
  <c r="E100" i="9"/>
  <c r="T99" i="9"/>
  <c r="N99" i="9"/>
  <c r="K99" i="9"/>
  <c r="E99" i="9"/>
  <c r="T98" i="9"/>
  <c r="N98" i="9"/>
  <c r="K98" i="9"/>
  <c r="E98" i="9"/>
  <c r="T94" i="9"/>
  <c r="N94" i="9"/>
  <c r="E94" i="9"/>
  <c r="T92" i="9"/>
  <c r="N92" i="9"/>
  <c r="E92" i="9"/>
  <c r="T89" i="9"/>
  <c r="N89" i="9"/>
  <c r="K89" i="9"/>
  <c r="E89" i="9"/>
  <c r="T85" i="9"/>
  <c r="N85" i="9"/>
  <c r="K85" i="9"/>
  <c r="E85" i="9"/>
  <c r="T80" i="9"/>
  <c r="N80" i="9"/>
  <c r="K80" i="9"/>
  <c r="E80" i="9"/>
  <c r="T75" i="9"/>
  <c r="N75" i="9"/>
  <c r="K75" i="9"/>
  <c r="E75" i="9"/>
  <c r="T74" i="9"/>
  <c r="N74" i="9"/>
  <c r="K74" i="9"/>
  <c r="E74" i="9"/>
  <c r="T73" i="9"/>
  <c r="N73" i="9"/>
  <c r="K73" i="9"/>
  <c r="E73" i="9"/>
  <c r="T72" i="9"/>
  <c r="N72" i="9"/>
  <c r="K72" i="9"/>
  <c r="E72" i="9"/>
  <c r="T71" i="9"/>
  <c r="N71" i="9"/>
  <c r="K71" i="9"/>
  <c r="E71" i="9"/>
  <c r="T70" i="9"/>
  <c r="N70" i="9"/>
  <c r="K70" i="9"/>
  <c r="E70" i="9"/>
  <c r="T69" i="9"/>
  <c r="N69" i="9"/>
  <c r="K69" i="9"/>
  <c r="E69" i="9"/>
  <c r="T68" i="9"/>
  <c r="N68" i="9"/>
  <c r="K68" i="9"/>
  <c r="E68" i="9"/>
  <c r="T67" i="9"/>
  <c r="N67" i="9"/>
  <c r="K67" i="9"/>
  <c r="E67" i="9"/>
  <c r="T65" i="9"/>
  <c r="N65" i="9"/>
  <c r="K65" i="9"/>
  <c r="E65" i="9"/>
  <c r="T64" i="9"/>
  <c r="N64" i="9"/>
  <c r="K64" i="9"/>
  <c r="E64" i="9"/>
  <c r="T63" i="9"/>
  <c r="N63" i="9"/>
  <c r="K63" i="9"/>
  <c r="E63" i="9"/>
  <c r="T62" i="9"/>
  <c r="N62" i="9"/>
  <c r="K62" i="9"/>
  <c r="E62" i="9"/>
  <c r="T61" i="9"/>
  <c r="N61" i="9"/>
  <c r="K61" i="9"/>
  <c r="E61" i="9"/>
  <c r="T60" i="9"/>
  <c r="N60" i="9"/>
  <c r="K60" i="9"/>
  <c r="E60" i="9"/>
  <c r="T56" i="9"/>
  <c r="N56" i="9"/>
  <c r="K56" i="9"/>
  <c r="E56" i="9"/>
  <c r="T55" i="9"/>
  <c r="N55" i="9"/>
  <c r="K55" i="9"/>
  <c r="E55" i="9"/>
  <c r="T54" i="9"/>
  <c r="N54" i="9"/>
  <c r="K54" i="9"/>
  <c r="E54" i="9"/>
  <c r="T53" i="9"/>
  <c r="N53" i="9"/>
  <c r="K53" i="9"/>
  <c r="E53" i="9"/>
  <c r="T52" i="9"/>
  <c r="N52" i="9"/>
  <c r="K52" i="9"/>
  <c r="E52" i="9"/>
  <c r="T51" i="9"/>
  <c r="N51" i="9"/>
  <c r="K51" i="9"/>
  <c r="E51" i="9"/>
  <c r="T50" i="9"/>
  <c r="N50" i="9"/>
  <c r="K50" i="9"/>
  <c r="E50" i="9"/>
  <c r="T49" i="9"/>
  <c r="N49" i="9"/>
  <c r="K49" i="9"/>
  <c r="E49" i="9"/>
  <c r="T48" i="9"/>
  <c r="N48" i="9"/>
  <c r="K48" i="9"/>
  <c r="E48" i="9"/>
  <c r="T46" i="9"/>
  <c r="N46" i="9"/>
  <c r="K46" i="9"/>
  <c r="E46" i="9"/>
  <c r="T45" i="9"/>
  <c r="N45" i="9"/>
  <c r="K45" i="9"/>
  <c r="E45" i="9"/>
  <c r="T44" i="9"/>
  <c r="N44" i="9"/>
  <c r="K44" i="9"/>
  <c r="E44" i="9"/>
  <c r="T43" i="9"/>
  <c r="N43" i="9"/>
  <c r="K43" i="9"/>
  <c r="E43" i="9"/>
  <c r="T42" i="9"/>
  <c r="N42" i="9"/>
  <c r="K42" i="9"/>
  <c r="E42" i="9"/>
  <c r="T41" i="9"/>
  <c r="N41" i="9"/>
  <c r="K41" i="9"/>
  <c r="E41" i="9"/>
  <c r="T37" i="9"/>
  <c r="N37" i="9"/>
  <c r="K37" i="9"/>
  <c r="E37" i="9"/>
  <c r="T36" i="9"/>
  <c r="N36" i="9"/>
  <c r="K36" i="9"/>
  <c r="E36" i="9"/>
  <c r="T35" i="9"/>
  <c r="N35" i="9"/>
  <c r="K35" i="9"/>
  <c r="E35" i="9"/>
  <c r="T34" i="9"/>
  <c r="N34" i="9"/>
  <c r="K34" i="9"/>
  <c r="E34" i="9"/>
  <c r="T33" i="9"/>
  <c r="N33" i="9"/>
  <c r="K33" i="9"/>
  <c r="E33" i="9"/>
  <c r="T32" i="9"/>
  <c r="N32" i="9"/>
  <c r="K32" i="9"/>
  <c r="E32" i="9"/>
  <c r="T31" i="9"/>
  <c r="N31" i="9"/>
  <c r="K31" i="9"/>
  <c r="E31" i="9"/>
  <c r="T30" i="9"/>
  <c r="N30" i="9"/>
  <c r="K30" i="9"/>
  <c r="E30" i="9"/>
  <c r="T29" i="9"/>
  <c r="N29" i="9"/>
  <c r="K29" i="9"/>
  <c r="E29" i="9"/>
  <c r="T28" i="9"/>
  <c r="N28" i="9"/>
  <c r="K28" i="9"/>
  <c r="E28" i="9"/>
  <c r="T27" i="9"/>
  <c r="N27" i="9"/>
  <c r="K27" i="9"/>
  <c r="E27" i="9"/>
  <c r="T26" i="9"/>
  <c r="N26" i="9"/>
  <c r="K26" i="9"/>
  <c r="E26" i="9"/>
  <c r="T25" i="9"/>
  <c r="N25" i="9"/>
  <c r="K25" i="9"/>
  <c r="E25" i="9"/>
  <c r="T24" i="9"/>
  <c r="N24" i="9"/>
  <c r="K24" i="9"/>
  <c r="E24" i="9"/>
  <c r="T23" i="9"/>
  <c r="N23" i="9"/>
  <c r="K23" i="9"/>
  <c r="E23" i="9"/>
  <c r="T22" i="9"/>
  <c r="N22" i="9"/>
  <c r="K22" i="9"/>
  <c r="E22" i="9"/>
  <c r="T18" i="9"/>
  <c r="N18" i="9"/>
  <c r="K18" i="9"/>
  <c r="E18" i="9"/>
  <c r="T17" i="9"/>
  <c r="N17" i="9"/>
  <c r="K17" i="9"/>
  <c r="E17" i="9"/>
  <c r="T16" i="9"/>
  <c r="N16" i="9"/>
  <c r="K16" i="9"/>
  <c r="E16" i="9"/>
  <c r="T15" i="9"/>
  <c r="N15" i="9"/>
  <c r="K15" i="9"/>
  <c r="E15" i="9"/>
  <c r="T14" i="9"/>
  <c r="N14" i="9"/>
  <c r="K14" i="9"/>
  <c r="E14" i="9"/>
  <c r="T13" i="9"/>
  <c r="N13" i="9"/>
  <c r="K13" i="9"/>
  <c r="E13" i="9"/>
  <c r="T12" i="9"/>
  <c r="N12" i="9"/>
  <c r="K12" i="9"/>
  <c r="E12" i="9"/>
  <c r="T11" i="9"/>
  <c r="N11" i="9"/>
  <c r="K11" i="9"/>
  <c r="E11" i="9"/>
  <c r="T10" i="9"/>
  <c r="N10" i="9"/>
  <c r="K10" i="9"/>
  <c r="E10" i="9"/>
  <c r="T9" i="9"/>
  <c r="N9" i="9"/>
  <c r="K9" i="9"/>
  <c r="E9" i="9"/>
  <c r="T8" i="9"/>
  <c r="N8" i="9"/>
  <c r="K8" i="9"/>
  <c r="E8" i="9"/>
  <c r="T7" i="9"/>
  <c r="N7" i="9"/>
  <c r="K7" i="9"/>
  <c r="E7" i="9"/>
  <c r="T6" i="9"/>
  <c r="N6" i="9"/>
  <c r="K6" i="9"/>
  <c r="E6" i="9"/>
  <c r="T5" i="9"/>
  <c r="N5" i="9"/>
  <c r="K5" i="9"/>
  <c r="E5" i="9"/>
  <c r="T4" i="9"/>
  <c r="N4" i="9"/>
  <c r="K4" i="9"/>
  <c r="E4" i="9"/>
  <c r="T3" i="9"/>
  <c r="N3" i="9"/>
  <c r="K3" i="9"/>
  <c r="E3" i="9"/>
  <c r="T132" i="8"/>
  <c r="N132" i="8"/>
  <c r="K132" i="8"/>
  <c r="E132" i="8"/>
  <c r="T131" i="8"/>
  <c r="N131" i="8"/>
  <c r="K131" i="8"/>
  <c r="E131" i="8"/>
  <c r="T130" i="8"/>
  <c r="N130" i="8"/>
  <c r="K130" i="8"/>
  <c r="E130" i="8"/>
  <c r="T129" i="8"/>
  <c r="N129" i="8"/>
  <c r="K129" i="8"/>
  <c r="E129" i="8"/>
  <c r="T128" i="8"/>
  <c r="N128" i="8"/>
  <c r="K128" i="8"/>
  <c r="E128" i="8"/>
  <c r="T127" i="8"/>
  <c r="N127" i="8"/>
  <c r="K127" i="8"/>
  <c r="E127" i="8"/>
  <c r="T126" i="8"/>
  <c r="N126" i="8"/>
  <c r="K126" i="8"/>
  <c r="E126" i="8"/>
  <c r="T125" i="8"/>
  <c r="N125" i="8"/>
  <c r="K125" i="8"/>
  <c r="E125" i="8"/>
  <c r="T124" i="8"/>
  <c r="N124" i="8"/>
  <c r="K124" i="8"/>
  <c r="E124" i="8"/>
  <c r="T122" i="8"/>
  <c r="N122" i="8"/>
  <c r="K122" i="8"/>
  <c r="E122" i="8"/>
  <c r="T121" i="8"/>
  <c r="N121" i="8"/>
  <c r="K121" i="8"/>
  <c r="E121" i="8"/>
  <c r="T120" i="8"/>
  <c r="N120" i="8"/>
  <c r="K120" i="8"/>
  <c r="E120" i="8"/>
  <c r="T119" i="8"/>
  <c r="N119" i="8"/>
  <c r="K119" i="8"/>
  <c r="E119" i="8"/>
  <c r="T118" i="8"/>
  <c r="N118" i="8"/>
  <c r="K118" i="8"/>
  <c r="E118" i="8"/>
  <c r="T117" i="8"/>
  <c r="N117" i="8"/>
  <c r="K117" i="8"/>
  <c r="E117" i="8"/>
  <c r="T113" i="8"/>
  <c r="N113" i="8"/>
  <c r="K113" i="8"/>
  <c r="E113" i="8"/>
  <c r="T112" i="8"/>
  <c r="N112" i="8"/>
  <c r="K112" i="8"/>
  <c r="E112" i="8"/>
  <c r="T111" i="8"/>
  <c r="N111" i="8"/>
  <c r="K111" i="8"/>
  <c r="E111" i="8"/>
  <c r="T110" i="8"/>
  <c r="N110" i="8"/>
  <c r="K110" i="8"/>
  <c r="E110" i="8"/>
  <c r="T109" i="8"/>
  <c r="N109" i="8"/>
  <c r="K109" i="8"/>
  <c r="E109" i="8"/>
  <c r="T108" i="8"/>
  <c r="N108" i="8"/>
  <c r="K108" i="8"/>
  <c r="E108" i="8"/>
  <c r="T107" i="8"/>
  <c r="N107" i="8"/>
  <c r="K107" i="8"/>
  <c r="E107" i="8"/>
  <c r="T106" i="8"/>
  <c r="N106" i="8"/>
  <c r="K106" i="8"/>
  <c r="E106" i="8"/>
  <c r="T104" i="8"/>
  <c r="N104" i="8"/>
  <c r="K104" i="8"/>
  <c r="E104" i="8"/>
  <c r="T103" i="8"/>
  <c r="N103" i="8"/>
  <c r="K103" i="8"/>
  <c r="E103" i="8"/>
  <c r="T101" i="8"/>
  <c r="N101" i="8"/>
  <c r="K101" i="8"/>
  <c r="E101" i="8"/>
  <c r="T100" i="8"/>
  <c r="N100" i="8"/>
  <c r="K100" i="8"/>
  <c r="E100" i="8"/>
  <c r="T99" i="8"/>
  <c r="N99" i="8"/>
  <c r="K99" i="8"/>
  <c r="E99" i="8"/>
  <c r="T98" i="8"/>
  <c r="N98" i="8"/>
  <c r="K98" i="8"/>
  <c r="E98" i="8"/>
  <c r="T94" i="8"/>
  <c r="N94" i="8"/>
  <c r="E94" i="8"/>
  <c r="T92" i="8"/>
  <c r="N92" i="8"/>
  <c r="E92" i="8"/>
  <c r="T89" i="8"/>
  <c r="N89" i="8"/>
  <c r="K89" i="8"/>
  <c r="E89" i="8"/>
  <c r="T85" i="8"/>
  <c r="N85" i="8"/>
  <c r="K85" i="8"/>
  <c r="E85" i="8"/>
  <c r="T80" i="8"/>
  <c r="N80" i="8"/>
  <c r="K80" i="8"/>
  <c r="E80" i="8"/>
  <c r="T75" i="8"/>
  <c r="N75" i="8"/>
  <c r="K75" i="8"/>
  <c r="E75" i="8"/>
  <c r="T74" i="8"/>
  <c r="N74" i="8"/>
  <c r="K74" i="8"/>
  <c r="E74" i="8"/>
  <c r="T73" i="8"/>
  <c r="N73" i="8"/>
  <c r="K73" i="8"/>
  <c r="E73" i="8"/>
  <c r="T72" i="8"/>
  <c r="N72" i="8"/>
  <c r="K72" i="8"/>
  <c r="E72" i="8"/>
  <c r="T71" i="8"/>
  <c r="N71" i="8"/>
  <c r="K71" i="8"/>
  <c r="E71" i="8"/>
  <c r="T70" i="8"/>
  <c r="N70" i="8"/>
  <c r="K70" i="8"/>
  <c r="E70" i="8"/>
  <c r="T69" i="8"/>
  <c r="N69" i="8"/>
  <c r="K69" i="8"/>
  <c r="E69" i="8"/>
  <c r="T68" i="8"/>
  <c r="N68" i="8"/>
  <c r="K68" i="8"/>
  <c r="E68" i="8"/>
  <c r="T67" i="8"/>
  <c r="N67" i="8"/>
  <c r="K67" i="8"/>
  <c r="E67" i="8"/>
  <c r="T65" i="8"/>
  <c r="N65" i="8"/>
  <c r="K65" i="8"/>
  <c r="E65" i="8"/>
  <c r="T64" i="8"/>
  <c r="N64" i="8"/>
  <c r="K64" i="8"/>
  <c r="E64" i="8"/>
  <c r="T63" i="8"/>
  <c r="N63" i="8"/>
  <c r="K63" i="8"/>
  <c r="E63" i="8"/>
  <c r="T62" i="8"/>
  <c r="N62" i="8"/>
  <c r="K62" i="8"/>
  <c r="E62" i="8"/>
  <c r="T61" i="8"/>
  <c r="N61" i="8"/>
  <c r="K61" i="8"/>
  <c r="E61" i="8"/>
  <c r="T60" i="8"/>
  <c r="N60" i="8"/>
  <c r="K60" i="8"/>
  <c r="E60" i="8"/>
  <c r="T56" i="8"/>
  <c r="N56" i="8"/>
  <c r="K56" i="8"/>
  <c r="E56" i="8"/>
  <c r="T55" i="8"/>
  <c r="N55" i="8"/>
  <c r="K55" i="8"/>
  <c r="E55" i="8"/>
  <c r="T54" i="8"/>
  <c r="N54" i="8"/>
  <c r="K54" i="8"/>
  <c r="E54" i="8"/>
  <c r="T53" i="8"/>
  <c r="N53" i="8"/>
  <c r="K53" i="8"/>
  <c r="E53" i="8"/>
  <c r="T52" i="8"/>
  <c r="N52" i="8"/>
  <c r="K52" i="8"/>
  <c r="E52" i="8"/>
  <c r="T51" i="8"/>
  <c r="N51" i="8"/>
  <c r="K51" i="8"/>
  <c r="E51" i="8"/>
  <c r="T50" i="8"/>
  <c r="N50" i="8"/>
  <c r="K50" i="8"/>
  <c r="E50" i="8"/>
  <c r="T49" i="8"/>
  <c r="N49" i="8"/>
  <c r="K49" i="8"/>
  <c r="E49" i="8"/>
  <c r="T48" i="8"/>
  <c r="N48" i="8"/>
  <c r="K48" i="8"/>
  <c r="E48" i="8"/>
  <c r="T46" i="8"/>
  <c r="N46" i="8"/>
  <c r="K46" i="8"/>
  <c r="E46" i="8"/>
  <c r="T45" i="8"/>
  <c r="N45" i="8"/>
  <c r="K45" i="8"/>
  <c r="E45" i="8"/>
  <c r="T44" i="8"/>
  <c r="N44" i="8"/>
  <c r="K44" i="8"/>
  <c r="E44" i="8"/>
  <c r="T43" i="8"/>
  <c r="N43" i="8"/>
  <c r="K43" i="8"/>
  <c r="E43" i="8"/>
  <c r="T42" i="8"/>
  <c r="N42" i="8"/>
  <c r="K42" i="8"/>
  <c r="E42" i="8"/>
  <c r="T41" i="8"/>
  <c r="N41" i="8"/>
  <c r="K41" i="8"/>
  <c r="E41" i="8"/>
  <c r="T37" i="8"/>
  <c r="N37" i="8"/>
  <c r="K37" i="8"/>
  <c r="E37" i="8"/>
  <c r="T36" i="8"/>
  <c r="N36" i="8"/>
  <c r="K36" i="8"/>
  <c r="E36" i="8"/>
  <c r="T35" i="8"/>
  <c r="N35" i="8"/>
  <c r="K35" i="8"/>
  <c r="E35" i="8"/>
  <c r="T34" i="8"/>
  <c r="N34" i="8"/>
  <c r="K34" i="8"/>
  <c r="E34" i="8"/>
  <c r="T33" i="8"/>
  <c r="N33" i="8"/>
  <c r="K33" i="8"/>
  <c r="E33" i="8"/>
  <c r="T32" i="8"/>
  <c r="N32" i="8"/>
  <c r="K32" i="8"/>
  <c r="E32" i="8"/>
  <c r="T31" i="8"/>
  <c r="N31" i="8"/>
  <c r="K31" i="8"/>
  <c r="E31" i="8"/>
  <c r="T30" i="8"/>
  <c r="N30" i="8"/>
  <c r="K30" i="8"/>
  <c r="E30" i="8"/>
  <c r="T29" i="8"/>
  <c r="N29" i="8"/>
  <c r="K29" i="8"/>
  <c r="E29" i="8"/>
  <c r="T28" i="8"/>
  <c r="N28" i="8"/>
  <c r="K28" i="8"/>
  <c r="E28" i="8"/>
  <c r="T27" i="8"/>
  <c r="N27" i="8"/>
  <c r="K27" i="8"/>
  <c r="E27" i="8"/>
  <c r="T26" i="8"/>
  <c r="N26" i="8"/>
  <c r="K26" i="8"/>
  <c r="E26" i="8"/>
  <c r="T25" i="8"/>
  <c r="N25" i="8"/>
  <c r="K25" i="8"/>
  <c r="E25" i="8"/>
  <c r="T24" i="8"/>
  <c r="N24" i="8"/>
  <c r="K24" i="8"/>
  <c r="E24" i="8"/>
  <c r="T23" i="8"/>
  <c r="N23" i="8"/>
  <c r="K23" i="8"/>
  <c r="E23" i="8"/>
  <c r="T22" i="8"/>
  <c r="N22" i="8"/>
  <c r="K22" i="8"/>
  <c r="E22" i="8"/>
  <c r="T18" i="8"/>
  <c r="N18" i="8"/>
  <c r="K18" i="8"/>
  <c r="E18" i="8"/>
  <c r="T17" i="8"/>
  <c r="N17" i="8"/>
  <c r="K17" i="8"/>
  <c r="E17" i="8"/>
  <c r="T16" i="8"/>
  <c r="N16" i="8"/>
  <c r="K16" i="8"/>
  <c r="E16" i="8"/>
  <c r="T15" i="8"/>
  <c r="N15" i="8"/>
  <c r="K15" i="8"/>
  <c r="E15" i="8"/>
  <c r="T14" i="8"/>
  <c r="N14" i="8"/>
  <c r="K14" i="8"/>
  <c r="E14" i="8"/>
  <c r="T13" i="8"/>
  <c r="N13" i="8"/>
  <c r="K13" i="8"/>
  <c r="E13" i="8"/>
  <c r="T12" i="8"/>
  <c r="N12" i="8"/>
  <c r="K12" i="8"/>
  <c r="E12" i="8"/>
  <c r="T11" i="8"/>
  <c r="N11" i="8"/>
  <c r="K11" i="8"/>
  <c r="E11" i="8"/>
  <c r="T10" i="8"/>
  <c r="N10" i="8"/>
  <c r="K10" i="8"/>
  <c r="E10" i="8"/>
  <c r="T9" i="8"/>
  <c r="N9" i="8"/>
  <c r="K9" i="8"/>
  <c r="E9" i="8"/>
  <c r="T8" i="8"/>
  <c r="N8" i="8"/>
  <c r="K8" i="8"/>
  <c r="E8" i="8"/>
  <c r="T7" i="8"/>
  <c r="N7" i="8"/>
  <c r="K7" i="8"/>
  <c r="E7" i="8"/>
  <c r="T6" i="8"/>
  <c r="N6" i="8"/>
  <c r="K6" i="8"/>
  <c r="E6" i="8"/>
  <c r="T5" i="8"/>
  <c r="N5" i="8"/>
  <c r="K5" i="8"/>
  <c r="E5" i="8"/>
  <c r="T4" i="8"/>
  <c r="N4" i="8"/>
  <c r="K4" i="8"/>
  <c r="E4" i="8"/>
  <c r="T3" i="8"/>
  <c r="N3" i="8"/>
  <c r="K3" i="8"/>
  <c r="E3" i="8"/>
  <c r="T132" i="7"/>
  <c r="N132" i="7"/>
  <c r="K132" i="7"/>
  <c r="E132" i="7"/>
  <c r="T131" i="7"/>
  <c r="N131" i="7"/>
  <c r="K131" i="7"/>
  <c r="E131" i="7"/>
  <c r="T130" i="7"/>
  <c r="N130" i="7"/>
  <c r="K130" i="7"/>
  <c r="E130" i="7"/>
  <c r="T129" i="7"/>
  <c r="N129" i="7"/>
  <c r="K129" i="7"/>
  <c r="E129" i="7"/>
  <c r="T128" i="7"/>
  <c r="N128" i="7"/>
  <c r="K128" i="7"/>
  <c r="E128" i="7"/>
  <c r="T127" i="7"/>
  <c r="N127" i="7"/>
  <c r="K127" i="7"/>
  <c r="E127" i="7"/>
  <c r="T126" i="7"/>
  <c r="N126" i="7"/>
  <c r="K126" i="7"/>
  <c r="E126" i="7"/>
  <c r="T125" i="7"/>
  <c r="N125" i="7"/>
  <c r="K125" i="7"/>
  <c r="E125" i="7"/>
  <c r="T124" i="7"/>
  <c r="N124" i="7"/>
  <c r="K124" i="7"/>
  <c r="E124" i="7"/>
  <c r="T122" i="7"/>
  <c r="N122" i="7"/>
  <c r="K122" i="7"/>
  <c r="E122" i="7"/>
  <c r="T121" i="7"/>
  <c r="N121" i="7"/>
  <c r="K121" i="7"/>
  <c r="E121" i="7"/>
  <c r="T120" i="7"/>
  <c r="N120" i="7"/>
  <c r="K120" i="7"/>
  <c r="E120" i="7"/>
  <c r="T119" i="7"/>
  <c r="N119" i="7"/>
  <c r="K119" i="7"/>
  <c r="E119" i="7"/>
  <c r="T118" i="7"/>
  <c r="N118" i="7"/>
  <c r="K118" i="7"/>
  <c r="E118" i="7"/>
  <c r="T117" i="7"/>
  <c r="N117" i="7"/>
  <c r="K117" i="7"/>
  <c r="E117" i="7"/>
  <c r="T113" i="7"/>
  <c r="N113" i="7"/>
  <c r="K113" i="7"/>
  <c r="E113" i="7"/>
  <c r="T112" i="7"/>
  <c r="N112" i="7"/>
  <c r="K112" i="7"/>
  <c r="E112" i="7"/>
  <c r="T111" i="7"/>
  <c r="N111" i="7"/>
  <c r="K111" i="7"/>
  <c r="E111" i="7"/>
  <c r="T110" i="7"/>
  <c r="N110" i="7"/>
  <c r="K110" i="7"/>
  <c r="E110" i="7"/>
  <c r="T109" i="7"/>
  <c r="N109" i="7"/>
  <c r="K109" i="7"/>
  <c r="E109" i="7"/>
  <c r="T108" i="7"/>
  <c r="N108" i="7"/>
  <c r="K108" i="7"/>
  <c r="E108" i="7"/>
  <c r="T107" i="7"/>
  <c r="N107" i="7"/>
  <c r="K107" i="7"/>
  <c r="E107" i="7"/>
  <c r="T106" i="7"/>
  <c r="N106" i="7"/>
  <c r="K106" i="7"/>
  <c r="E106" i="7"/>
  <c r="T104" i="7"/>
  <c r="N104" i="7"/>
  <c r="K104" i="7"/>
  <c r="E104" i="7"/>
  <c r="T103" i="7"/>
  <c r="N103" i="7"/>
  <c r="K103" i="7"/>
  <c r="E103" i="7"/>
  <c r="T101" i="7"/>
  <c r="N101" i="7"/>
  <c r="K101" i="7"/>
  <c r="E101" i="7"/>
  <c r="T100" i="7"/>
  <c r="N100" i="7"/>
  <c r="K100" i="7"/>
  <c r="E100" i="7"/>
  <c r="T99" i="7"/>
  <c r="N99" i="7"/>
  <c r="K99" i="7"/>
  <c r="E99" i="7"/>
  <c r="T98" i="7"/>
  <c r="N98" i="7"/>
  <c r="K98" i="7"/>
  <c r="E98" i="7"/>
  <c r="T94" i="7"/>
  <c r="N94" i="7"/>
  <c r="E94" i="7"/>
  <c r="T92" i="7"/>
  <c r="N92" i="7"/>
  <c r="E92" i="7"/>
  <c r="T89" i="7"/>
  <c r="N89" i="7"/>
  <c r="K89" i="7"/>
  <c r="E89" i="7"/>
  <c r="T85" i="7"/>
  <c r="N85" i="7"/>
  <c r="K85" i="7"/>
  <c r="E85" i="7"/>
  <c r="T80" i="7"/>
  <c r="N80" i="7"/>
  <c r="K80" i="7"/>
  <c r="E80" i="7"/>
  <c r="T75" i="7"/>
  <c r="N75" i="7"/>
  <c r="K75" i="7"/>
  <c r="E75" i="7"/>
  <c r="T74" i="7"/>
  <c r="N74" i="7"/>
  <c r="K74" i="7"/>
  <c r="E74" i="7"/>
  <c r="T73" i="7"/>
  <c r="N73" i="7"/>
  <c r="K73" i="7"/>
  <c r="E73" i="7"/>
  <c r="T72" i="7"/>
  <c r="N72" i="7"/>
  <c r="K72" i="7"/>
  <c r="E72" i="7"/>
  <c r="T71" i="7"/>
  <c r="N71" i="7"/>
  <c r="K71" i="7"/>
  <c r="E71" i="7"/>
  <c r="T70" i="7"/>
  <c r="N70" i="7"/>
  <c r="K70" i="7"/>
  <c r="E70" i="7"/>
  <c r="T69" i="7"/>
  <c r="N69" i="7"/>
  <c r="K69" i="7"/>
  <c r="E69" i="7"/>
  <c r="T68" i="7"/>
  <c r="N68" i="7"/>
  <c r="K68" i="7"/>
  <c r="E68" i="7"/>
  <c r="T67" i="7"/>
  <c r="N67" i="7"/>
  <c r="K67" i="7"/>
  <c r="E67" i="7"/>
  <c r="T65" i="7"/>
  <c r="N65" i="7"/>
  <c r="K65" i="7"/>
  <c r="E65" i="7"/>
  <c r="T64" i="7"/>
  <c r="N64" i="7"/>
  <c r="K64" i="7"/>
  <c r="E64" i="7"/>
  <c r="T63" i="7"/>
  <c r="N63" i="7"/>
  <c r="K63" i="7"/>
  <c r="E63" i="7"/>
  <c r="T62" i="7"/>
  <c r="N62" i="7"/>
  <c r="K62" i="7"/>
  <c r="E62" i="7"/>
  <c r="T61" i="7"/>
  <c r="N61" i="7"/>
  <c r="K61" i="7"/>
  <c r="E61" i="7"/>
  <c r="T60" i="7"/>
  <c r="N60" i="7"/>
  <c r="K60" i="7"/>
  <c r="E60" i="7"/>
  <c r="T56" i="7"/>
  <c r="N56" i="7"/>
  <c r="K56" i="7"/>
  <c r="E56" i="7"/>
  <c r="T55" i="7"/>
  <c r="N55" i="7"/>
  <c r="K55" i="7"/>
  <c r="E55" i="7"/>
  <c r="T54" i="7"/>
  <c r="N54" i="7"/>
  <c r="K54" i="7"/>
  <c r="E54" i="7"/>
  <c r="T53" i="7"/>
  <c r="N53" i="7"/>
  <c r="K53" i="7"/>
  <c r="E53" i="7"/>
  <c r="T52" i="7"/>
  <c r="N52" i="7"/>
  <c r="K52" i="7"/>
  <c r="E52" i="7"/>
  <c r="T51" i="7"/>
  <c r="N51" i="7"/>
  <c r="K51" i="7"/>
  <c r="E51" i="7"/>
  <c r="T50" i="7"/>
  <c r="N50" i="7"/>
  <c r="K50" i="7"/>
  <c r="E50" i="7"/>
  <c r="T49" i="7"/>
  <c r="N49" i="7"/>
  <c r="K49" i="7"/>
  <c r="E49" i="7"/>
  <c r="T48" i="7"/>
  <c r="N48" i="7"/>
  <c r="K48" i="7"/>
  <c r="E48" i="7"/>
  <c r="T46" i="7"/>
  <c r="N46" i="7"/>
  <c r="K46" i="7"/>
  <c r="E46" i="7"/>
  <c r="T45" i="7"/>
  <c r="N45" i="7"/>
  <c r="K45" i="7"/>
  <c r="E45" i="7"/>
  <c r="T44" i="7"/>
  <c r="N44" i="7"/>
  <c r="K44" i="7"/>
  <c r="E44" i="7"/>
  <c r="T43" i="7"/>
  <c r="N43" i="7"/>
  <c r="K43" i="7"/>
  <c r="E43" i="7"/>
  <c r="T42" i="7"/>
  <c r="N42" i="7"/>
  <c r="K42" i="7"/>
  <c r="E42" i="7"/>
  <c r="T41" i="7"/>
  <c r="N41" i="7"/>
  <c r="K41" i="7"/>
  <c r="E41" i="7"/>
  <c r="T37" i="7"/>
  <c r="N37" i="7"/>
  <c r="K37" i="7"/>
  <c r="E37" i="7"/>
  <c r="T36" i="7"/>
  <c r="N36" i="7"/>
  <c r="K36" i="7"/>
  <c r="E36" i="7"/>
  <c r="T35" i="7"/>
  <c r="N35" i="7"/>
  <c r="K35" i="7"/>
  <c r="E35" i="7"/>
  <c r="T34" i="7"/>
  <c r="N34" i="7"/>
  <c r="K34" i="7"/>
  <c r="E34" i="7"/>
  <c r="T33" i="7"/>
  <c r="N33" i="7"/>
  <c r="K33" i="7"/>
  <c r="E33" i="7"/>
  <c r="T32" i="7"/>
  <c r="N32" i="7"/>
  <c r="K32" i="7"/>
  <c r="E32" i="7"/>
  <c r="T31" i="7"/>
  <c r="N31" i="7"/>
  <c r="K31" i="7"/>
  <c r="E31" i="7"/>
  <c r="T30" i="7"/>
  <c r="N30" i="7"/>
  <c r="K30" i="7"/>
  <c r="E30" i="7"/>
  <c r="T29" i="7"/>
  <c r="N29" i="7"/>
  <c r="K29" i="7"/>
  <c r="E29" i="7"/>
  <c r="T28" i="7"/>
  <c r="N28" i="7"/>
  <c r="K28" i="7"/>
  <c r="E28" i="7"/>
  <c r="T27" i="7"/>
  <c r="N27" i="7"/>
  <c r="K27" i="7"/>
  <c r="E27" i="7"/>
  <c r="T26" i="7"/>
  <c r="N26" i="7"/>
  <c r="K26" i="7"/>
  <c r="E26" i="7"/>
  <c r="T25" i="7"/>
  <c r="N25" i="7"/>
  <c r="K25" i="7"/>
  <c r="E25" i="7"/>
  <c r="T24" i="7"/>
  <c r="N24" i="7"/>
  <c r="K24" i="7"/>
  <c r="E24" i="7"/>
  <c r="T23" i="7"/>
  <c r="N23" i="7"/>
  <c r="K23" i="7"/>
  <c r="E23" i="7"/>
  <c r="T22" i="7"/>
  <c r="N22" i="7"/>
  <c r="K22" i="7"/>
  <c r="E22" i="7"/>
  <c r="T18" i="7"/>
  <c r="N18" i="7"/>
  <c r="K18" i="7"/>
  <c r="E18" i="7"/>
  <c r="T17" i="7"/>
  <c r="N17" i="7"/>
  <c r="K17" i="7"/>
  <c r="E17" i="7"/>
  <c r="T16" i="7"/>
  <c r="N16" i="7"/>
  <c r="K16" i="7"/>
  <c r="E16" i="7"/>
  <c r="T15" i="7"/>
  <c r="N15" i="7"/>
  <c r="K15" i="7"/>
  <c r="E15" i="7"/>
  <c r="T14" i="7"/>
  <c r="N14" i="7"/>
  <c r="K14" i="7"/>
  <c r="E14" i="7"/>
  <c r="T13" i="7"/>
  <c r="N13" i="7"/>
  <c r="K13" i="7"/>
  <c r="E13" i="7"/>
  <c r="T12" i="7"/>
  <c r="N12" i="7"/>
  <c r="K12" i="7"/>
  <c r="E12" i="7"/>
  <c r="T11" i="7"/>
  <c r="N11" i="7"/>
  <c r="K11" i="7"/>
  <c r="E11" i="7"/>
  <c r="T10" i="7"/>
  <c r="N10" i="7"/>
  <c r="K10" i="7"/>
  <c r="E10" i="7"/>
  <c r="T9" i="7"/>
  <c r="N9" i="7"/>
  <c r="K9" i="7"/>
  <c r="E9" i="7"/>
  <c r="T8" i="7"/>
  <c r="N8" i="7"/>
  <c r="K8" i="7"/>
  <c r="E8" i="7"/>
  <c r="T7" i="7"/>
  <c r="N7" i="7"/>
  <c r="K7" i="7"/>
  <c r="E7" i="7"/>
  <c r="T6" i="7"/>
  <c r="N6" i="7"/>
  <c r="K6" i="7"/>
  <c r="E6" i="7"/>
  <c r="T5" i="7"/>
  <c r="N5" i="7"/>
  <c r="K5" i="7"/>
  <c r="E5" i="7"/>
  <c r="T4" i="7"/>
  <c r="N4" i="7"/>
  <c r="K4" i="7"/>
  <c r="E4" i="7"/>
  <c r="T3" i="7"/>
  <c r="N3" i="7"/>
  <c r="K3" i="7"/>
  <c r="E3" i="7"/>
  <c r="T132" i="6"/>
  <c r="N132" i="6"/>
  <c r="K132" i="6"/>
  <c r="E132" i="6"/>
  <c r="T131" i="6"/>
  <c r="N131" i="6"/>
  <c r="K131" i="6"/>
  <c r="E131" i="6"/>
  <c r="T130" i="6"/>
  <c r="N130" i="6"/>
  <c r="K130" i="6"/>
  <c r="E130" i="6"/>
  <c r="T129" i="6"/>
  <c r="N129" i="6"/>
  <c r="K129" i="6"/>
  <c r="E129" i="6"/>
  <c r="T128" i="6"/>
  <c r="N128" i="6"/>
  <c r="K128" i="6"/>
  <c r="E128" i="6"/>
  <c r="T127" i="6"/>
  <c r="N127" i="6"/>
  <c r="K127" i="6"/>
  <c r="E127" i="6"/>
  <c r="T126" i="6"/>
  <c r="N126" i="6"/>
  <c r="K126" i="6"/>
  <c r="E126" i="6"/>
  <c r="T125" i="6"/>
  <c r="N125" i="6"/>
  <c r="K125" i="6"/>
  <c r="E125" i="6"/>
  <c r="T124" i="6"/>
  <c r="N124" i="6"/>
  <c r="K124" i="6"/>
  <c r="E124" i="6"/>
  <c r="T122" i="6"/>
  <c r="N122" i="6"/>
  <c r="K122" i="6"/>
  <c r="E122" i="6"/>
  <c r="T121" i="6"/>
  <c r="N121" i="6"/>
  <c r="K121" i="6"/>
  <c r="E121" i="6"/>
  <c r="T120" i="6"/>
  <c r="N120" i="6"/>
  <c r="K120" i="6"/>
  <c r="E120" i="6"/>
  <c r="T119" i="6"/>
  <c r="N119" i="6"/>
  <c r="K119" i="6"/>
  <c r="E119" i="6"/>
  <c r="T118" i="6"/>
  <c r="N118" i="6"/>
  <c r="K118" i="6"/>
  <c r="E118" i="6"/>
  <c r="T117" i="6"/>
  <c r="N117" i="6"/>
  <c r="K117" i="6"/>
  <c r="E117" i="6"/>
  <c r="T113" i="6"/>
  <c r="N113" i="6"/>
  <c r="K113" i="6"/>
  <c r="E113" i="6"/>
  <c r="T112" i="6"/>
  <c r="N112" i="6"/>
  <c r="K112" i="6"/>
  <c r="E112" i="6"/>
  <c r="T111" i="6"/>
  <c r="N111" i="6"/>
  <c r="K111" i="6"/>
  <c r="E111" i="6"/>
  <c r="T110" i="6"/>
  <c r="N110" i="6"/>
  <c r="K110" i="6"/>
  <c r="E110" i="6"/>
  <c r="T109" i="6"/>
  <c r="N109" i="6"/>
  <c r="K109" i="6"/>
  <c r="E109" i="6"/>
  <c r="T108" i="6"/>
  <c r="N108" i="6"/>
  <c r="K108" i="6"/>
  <c r="E108" i="6"/>
  <c r="T107" i="6"/>
  <c r="N107" i="6"/>
  <c r="K107" i="6"/>
  <c r="E107" i="6"/>
  <c r="T106" i="6"/>
  <c r="N106" i="6"/>
  <c r="K106" i="6"/>
  <c r="E106" i="6"/>
  <c r="T104" i="6"/>
  <c r="N104" i="6"/>
  <c r="K104" i="6"/>
  <c r="E104" i="6"/>
  <c r="T103" i="6"/>
  <c r="N103" i="6"/>
  <c r="K103" i="6"/>
  <c r="E103" i="6"/>
  <c r="T101" i="6"/>
  <c r="N101" i="6"/>
  <c r="K101" i="6"/>
  <c r="E101" i="6"/>
  <c r="T100" i="6"/>
  <c r="N100" i="6"/>
  <c r="K100" i="6"/>
  <c r="E100" i="6"/>
  <c r="T99" i="6"/>
  <c r="N99" i="6"/>
  <c r="K99" i="6"/>
  <c r="E99" i="6"/>
  <c r="T98" i="6"/>
  <c r="N98" i="6"/>
  <c r="K98" i="6"/>
  <c r="E98" i="6"/>
  <c r="T94" i="6"/>
  <c r="N94" i="6"/>
  <c r="E94" i="6"/>
  <c r="T92" i="6"/>
  <c r="N92" i="6"/>
  <c r="E92" i="6"/>
  <c r="T89" i="6"/>
  <c r="N89" i="6"/>
  <c r="K89" i="6"/>
  <c r="E89" i="6"/>
  <c r="T85" i="6"/>
  <c r="N85" i="6"/>
  <c r="K85" i="6"/>
  <c r="E85" i="6"/>
  <c r="T80" i="6"/>
  <c r="N80" i="6"/>
  <c r="K80" i="6"/>
  <c r="E80" i="6"/>
  <c r="T75" i="6"/>
  <c r="N75" i="6"/>
  <c r="K75" i="6"/>
  <c r="E75" i="6"/>
  <c r="T74" i="6"/>
  <c r="N74" i="6"/>
  <c r="K74" i="6"/>
  <c r="E74" i="6"/>
  <c r="T73" i="6"/>
  <c r="N73" i="6"/>
  <c r="K73" i="6"/>
  <c r="E73" i="6"/>
  <c r="T72" i="6"/>
  <c r="N72" i="6"/>
  <c r="K72" i="6"/>
  <c r="E72" i="6"/>
  <c r="T71" i="6"/>
  <c r="N71" i="6"/>
  <c r="K71" i="6"/>
  <c r="E71" i="6"/>
  <c r="T70" i="6"/>
  <c r="N70" i="6"/>
  <c r="K70" i="6"/>
  <c r="E70" i="6"/>
  <c r="T69" i="6"/>
  <c r="N69" i="6"/>
  <c r="K69" i="6"/>
  <c r="E69" i="6"/>
  <c r="T68" i="6"/>
  <c r="N68" i="6"/>
  <c r="K68" i="6"/>
  <c r="E68" i="6"/>
  <c r="T67" i="6"/>
  <c r="N67" i="6"/>
  <c r="K67" i="6"/>
  <c r="E67" i="6"/>
  <c r="T65" i="6"/>
  <c r="N65" i="6"/>
  <c r="K65" i="6"/>
  <c r="E65" i="6"/>
  <c r="T64" i="6"/>
  <c r="N64" i="6"/>
  <c r="K64" i="6"/>
  <c r="E64" i="6"/>
  <c r="T63" i="6"/>
  <c r="N63" i="6"/>
  <c r="K63" i="6"/>
  <c r="E63" i="6"/>
  <c r="T62" i="6"/>
  <c r="N62" i="6"/>
  <c r="K62" i="6"/>
  <c r="E62" i="6"/>
  <c r="T61" i="6"/>
  <c r="N61" i="6"/>
  <c r="K61" i="6"/>
  <c r="E61" i="6"/>
  <c r="T60" i="6"/>
  <c r="N60" i="6"/>
  <c r="K60" i="6"/>
  <c r="E60" i="6"/>
  <c r="T56" i="6"/>
  <c r="N56" i="6"/>
  <c r="K56" i="6"/>
  <c r="E56" i="6"/>
  <c r="T55" i="6"/>
  <c r="N55" i="6"/>
  <c r="K55" i="6"/>
  <c r="E55" i="6"/>
  <c r="T54" i="6"/>
  <c r="N54" i="6"/>
  <c r="K54" i="6"/>
  <c r="E54" i="6"/>
  <c r="T53" i="6"/>
  <c r="N53" i="6"/>
  <c r="K53" i="6"/>
  <c r="E53" i="6"/>
  <c r="T52" i="6"/>
  <c r="N52" i="6"/>
  <c r="K52" i="6"/>
  <c r="E52" i="6"/>
  <c r="T51" i="6"/>
  <c r="N51" i="6"/>
  <c r="K51" i="6"/>
  <c r="E51" i="6"/>
  <c r="T50" i="6"/>
  <c r="N50" i="6"/>
  <c r="K50" i="6"/>
  <c r="E50" i="6"/>
  <c r="T49" i="6"/>
  <c r="N49" i="6"/>
  <c r="K49" i="6"/>
  <c r="E49" i="6"/>
  <c r="T48" i="6"/>
  <c r="N48" i="6"/>
  <c r="K48" i="6"/>
  <c r="E48" i="6"/>
  <c r="T46" i="6"/>
  <c r="N46" i="6"/>
  <c r="K46" i="6"/>
  <c r="E46" i="6"/>
  <c r="T45" i="6"/>
  <c r="N45" i="6"/>
  <c r="K45" i="6"/>
  <c r="E45" i="6"/>
  <c r="T44" i="6"/>
  <c r="N44" i="6"/>
  <c r="K44" i="6"/>
  <c r="E44" i="6"/>
  <c r="T43" i="6"/>
  <c r="N43" i="6"/>
  <c r="K43" i="6"/>
  <c r="E43" i="6"/>
  <c r="T42" i="6"/>
  <c r="N42" i="6"/>
  <c r="K42" i="6"/>
  <c r="E42" i="6"/>
  <c r="T41" i="6"/>
  <c r="N41" i="6"/>
  <c r="K41" i="6"/>
  <c r="E41" i="6"/>
  <c r="T37" i="6"/>
  <c r="N37" i="6"/>
  <c r="K37" i="6"/>
  <c r="E37" i="6"/>
  <c r="T36" i="6"/>
  <c r="N36" i="6"/>
  <c r="K36" i="6"/>
  <c r="E36" i="6"/>
  <c r="T35" i="6"/>
  <c r="N35" i="6"/>
  <c r="K35" i="6"/>
  <c r="E35" i="6"/>
  <c r="T34" i="6"/>
  <c r="N34" i="6"/>
  <c r="K34" i="6"/>
  <c r="E34" i="6"/>
  <c r="T33" i="6"/>
  <c r="N33" i="6"/>
  <c r="K33" i="6"/>
  <c r="E33" i="6"/>
  <c r="T32" i="6"/>
  <c r="N32" i="6"/>
  <c r="K32" i="6"/>
  <c r="E32" i="6"/>
  <c r="T31" i="6"/>
  <c r="N31" i="6"/>
  <c r="K31" i="6"/>
  <c r="E31" i="6"/>
  <c r="T30" i="6"/>
  <c r="N30" i="6"/>
  <c r="K30" i="6"/>
  <c r="E30" i="6"/>
  <c r="T29" i="6"/>
  <c r="N29" i="6"/>
  <c r="K29" i="6"/>
  <c r="E29" i="6"/>
  <c r="T28" i="6"/>
  <c r="N28" i="6"/>
  <c r="K28" i="6"/>
  <c r="E28" i="6"/>
  <c r="T27" i="6"/>
  <c r="N27" i="6"/>
  <c r="K27" i="6"/>
  <c r="E27" i="6"/>
  <c r="T26" i="6"/>
  <c r="N26" i="6"/>
  <c r="K26" i="6"/>
  <c r="E26" i="6"/>
  <c r="T25" i="6"/>
  <c r="N25" i="6"/>
  <c r="K25" i="6"/>
  <c r="E25" i="6"/>
  <c r="T24" i="6"/>
  <c r="N24" i="6"/>
  <c r="K24" i="6"/>
  <c r="E24" i="6"/>
  <c r="T23" i="6"/>
  <c r="N23" i="6"/>
  <c r="K23" i="6"/>
  <c r="E23" i="6"/>
  <c r="T22" i="6"/>
  <c r="N22" i="6"/>
  <c r="K22" i="6"/>
  <c r="E22" i="6"/>
  <c r="T18" i="6"/>
  <c r="N18" i="6"/>
  <c r="K18" i="6"/>
  <c r="E18" i="6"/>
  <c r="T17" i="6"/>
  <c r="N17" i="6"/>
  <c r="K17" i="6"/>
  <c r="E17" i="6"/>
  <c r="T16" i="6"/>
  <c r="N16" i="6"/>
  <c r="K16" i="6"/>
  <c r="E16" i="6"/>
  <c r="T15" i="6"/>
  <c r="N15" i="6"/>
  <c r="K15" i="6"/>
  <c r="E15" i="6"/>
  <c r="T14" i="6"/>
  <c r="N14" i="6"/>
  <c r="K14" i="6"/>
  <c r="E14" i="6"/>
  <c r="T13" i="6"/>
  <c r="N13" i="6"/>
  <c r="K13" i="6"/>
  <c r="E13" i="6"/>
  <c r="T12" i="6"/>
  <c r="N12" i="6"/>
  <c r="K12" i="6"/>
  <c r="E12" i="6"/>
  <c r="T11" i="6"/>
  <c r="N11" i="6"/>
  <c r="K11" i="6"/>
  <c r="E11" i="6"/>
  <c r="T10" i="6"/>
  <c r="N10" i="6"/>
  <c r="K10" i="6"/>
  <c r="E10" i="6"/>
  <c r="T9" i="6"/>
  <c r="N9" i="6"/>
  <c r="K9" i="6"/>
  <c r="E9" i="6"/>
  <c r="T8" i="6"/>
  <c r="N8" i="6"/>
  <c r="K8" i="6"/>
  <c r="E8" i="6"/>
  <c r="T7" i="6"/>
  <c r="N7" i="6"/>
  <c r="K7" i="6"/>
  <c r="E7" i="6"/>
  <c r="T6" i="6"/>
  <c r="N6" i="6"/>
  <c r="K6" i="6"/>
  <c r="E6" i="6"/>
  <c r="T5" i="6"/>
  <c r="N5" i="6"/>
  <c r="K5" i="6"/>
  <c r="E5" i="6"/>
  <c r="T4" i="6"/>
  <c r="N4" i="6"/>
  <c r="K4" i="6"/>
  <c r="E4" i="6"/>
  <c r="T3" i="6"/>
  <c r="N3" i="6"/>
  <c r="K3" i="6"/>
  <c r="E3" i="6"/>
  <c r="T132" i="5"/>
  <c r="N132" i="5"/>
  <c r="K132" i="5"/>
  <c r="E132" i="5"/>
  <c r="T131" i="5"/>
  <c r="N131" i="5"/>
  <c r="K131" i="5"/>
  <c r="E131" i="5"/>
  <c r="T130" i="5"/>
  <c r="N130" i="5"/>
  <c r="K130" i="5"/>
  <c r="E130" i="5"/>
  <c r="T129" i="5"/>
  <c r="N129" i="5"/>
  <c r="K129" i="5"/>
  <c r="E129" i="5"/>
  <c r="T128" i="5"/>
  <c r="N128" i="5"/>
  <c r="K128" i="5"/>
  <c r="E128" i="5"/>
  <c r="T127" i="5"/>
  <c r="N127" i="5"/>
  <c r="K127" i="5"/>
  <c r="E127" i="5"/>
  <c r="T126" i="5"/>
  <c r="N126" i="5"/>
  <c r="K126" i="5"/>
  <c r="E126" i="5"/>
  <c r="T125" i="5"/>
  <c r="N125" i="5"/>
  <c r="K125" i="5"/>
  <c r="E125" i="5"/>
  <c r="T124" i="5"/>
  <c r="N124" i="5"/>
  <c r="K124" i="5"/>
  <c r="E124" i="5"/>
  <c r="T122" i="5"/>
  <c r="N122" i="5"/>
  <c r="K122" i="5"/>
  <c r="E122" i="5"/>
  <c r="T121" i="5"/>
  <c r="N121" i="5"/>
  <c r="K121" i="5"/>
  <c r="E121" i="5"/>
  <c r="T120" i="5"/>
  <c r="N120" i="5"/>
  <c r="K120" i="5"/>
  <c r="E120" i="5"/>
  <c r="T119" i="5"/>
  <c r="N119" i="5"/>
  <c r="K119" i="5"/>
  <c r="E119" i="5"/>
  <c r="T118" i="5"/>
  <c r="N118" i="5"/>
  <c r="K118" i="5"/>
  <c r="E118" i="5"/>
  <c r="T117" i="5"/>
  <c r="N117" i="5"/>
  <c r="K117" i="5"/>
  <c r="E117" i="5"/>
  <c r="T113" i="5"/>
  <c r="N113" i="5"/>
  <c r="K113" i="5"/>
  <c r="E113" i="5"/>
  <c r="T112" i="5"/>
  <c r="N112" i="5"/>
  <c r="K112" i="5"/>
  <c r="E112" i="5"/>
  <c r="T111" i="5"/>
  <c r="N111" i="5"/>
  <c r="K111" i="5"/>
  <c r="E111" i="5"/>
  <c r="T110" i="5"/>
  <c r="N110" i="5"/>
  <c r="K110" i="5"/>
  <c r="E110" i="5"/>
  <c r="T109" i="5"/>
  <c r="N109" i="5"/>
  <c r="K109" i="5"/>
  <c r="E109" i="5"/>
  <c r="T108" i="5"/>
  <c r="N108" i="5"/>
  <c r="K108" i="5"/>
  <c r="E108" i="5"/>
  <c r="T107" i="5"/>
  <c r="N107" i="5"/>
  <c r="K107" i="5"/>
  <c r="E107" i="5"/>
  <c r="T106" i="5"/>
  <c r="N106" i="5"/>
  <c r="K106" i="5"/>
  <c r="E106" i="5"/>
  <c r="T104" i="5"/>
  <c r="N104" i="5"/>
  <c r="K104" i="5"/>
  <c r="E104" i="5"/>
  <c r="T103" i="5"/>
  <c r="N103" i="5"/>
  <c r="K103" i="5"/>
  <c r="E103" i="5"/>
  <c r="T101" i="5"/>
  <c r="N101" i="5"/>
  <c r="K101" i="5"/>
  <c r="E101" i="5"/>
  <c r="T100" i="5"/>
  <c r="N100" i="5"/>
  <c r="K100" i="5"/>
  <c r="E100" i="5"/>
  <c r="T99" i="5"/>
  <c r="N99" i="5"/>
  <c r="K99" i="5"/>
  <c r="E99" i="5"/>
  <c r="T98" i="5"/>
  <c r="N98" i="5"/>
  <c r="K98" i="5"/>
  <c r="E98" i="5"/>
  <c r="T94" i="5"/>
  <c r="N94" i="5"/>
  <c r="E94" i="5"/>
  <c r="T92" i="5"/>
  <c r="N92" i="5"/>
  <c r="E92" i="5"/>
  <c r="T89" i="5"/>
  <c r="N89" i="5"/>
  <c r="K89" i="5"/>
  <c r="E89" i="5"/>
  <c r="T85" i="5"/>
  <c r="N85" i="5"/>
  <c r="K85" i="5"/>
  <c r="E85" i="5"/>
  <c r="T80" i="5"/>
  <c r="N80" i="5"/>
  <c r="K80" i="5"/>
  <c r="E80" i="5"/>
  <c r="T75" i="5"/>
  <c r="N75" i="5"/>
  <c r="K75" i="5"/>
  <c r="E75" i="5"/>
  <c r="T74" i="5"/>
  <c r="N74" i="5"/>
  <c r="K74" i="5"/>
  <c r="E74" i="5"/>
  <c r="T73" i="5"/>
  <c r="N73" i="5"/>
  <c r="K73" i="5"/>
  <c r="E73" i="5"/>
  <c r="T72" i="5"/>
  <c r="N72" i="5"/>
  <c r="K72" i="5"/>
  <c r="E72" i="5"/>
  <c r="T71" i="5"/>
  <c r="N71" i="5"/>
  <c r="K71" i="5"/>
  <c r="E71" i="5"/>
  <c r="T70" i="5"/>
  <c r="N70" i="5"/>
  <c r="K70" i="5"/>
  <c r="E70" i="5"/>
  <c r="T69" i="5"/>
  <c r="N69" i="5"/>
  <c r="K69" i="5"/>
  <c r="E69" i="5"/>
  <c r="T68" i="5"/>
  <c r="N68" i="5"/>
  <c r="K68" i="5"/>
  <c r="E68" i="5"/>
  <c r="T67" i="5"/>
  <c r="N67" i="5"/>
  <c r="K67" i="5"/>
  <c r="E67" i="5"/>
  <c r="T65" i="5"/>
  <c r="N65" i="5"/>
  <c r="K65" i="5"/>
  <c r="E65" i="5"/>
  <c r="T64" i="5"/>
  <c r="N64" i="5"/>
  <c r="K64" i="5"/>
  <c r="E64" i="5"/>
  <c r="T63" i="5"/>
  <c r="N63" i="5"/>
  <c r="K63" i="5"/>
  <c r="E63" i="5"/>
  <c r="T62" i="5"/>
  <c r="N62" i="5"/>
  <c r="K62" i="5"/>
  <c r="E62" i="5"/>
  <c r="T61" i="5"/>
  <c r="N61" i="5"/>
  <c r="K61" i="5"/>
  <c r="E61" i="5"/>
  <c r="T60" i="5"/>
  <c r="N60" i="5"/>
  <c r="K60" i="5"/>
  <c r="E60" i="5"/>
  <c r="T56" i="5"/>
  <c r="N56" i="5"/>
  <c r="K56" i="5"/>
  <c r="E56" i="5"/>
  <c r="T55" i="5"/>
  <c r="N55" i="5"/>
  <c r="K55" i="5"/>
  <c r="E55" i="5"/>
  <c r="T54" i="5"/>
  <c r="N54" i="5"/>
  <c r="K54" i="5"/>
  <c r="E54" i="5"/>
  <c r="T53" i="5"/>
  <c r="N53" i="5"/>
  <c r="K53" i="5"/>
  <c r="E53" i="5"/>
  <c r="T52" i="5"/>
  <c r="N52" i="5"/>
  <c r="K52" i="5"/>
  <c r="E52" i="5"/>
  <c r="T51" i="5"/>
  <c r="N51" i="5"/>
  <c r="K51" i="5"/>
  <c r="E51" i="5"/>
  <c r="T50" i="5"/>
  <c r="N50" i="5"/>
  <c r="K50" i="5"/>
  <c r="E50" i="5"/>
  <c r="T49" i="5"/>
  <c r="N49" i="5"/>
  <c r="K49" i="5"/>
  <c r="E49" i="5"/>
  <c r="T48" i="5"/>
  <c r="N48" i="5"/>
  <c r="K48" i="5"/>
  <c r="E48" i="5"/>
  <c r="T46" i="5"/>
  <c r="N46" i="5"/>
  <c r="K46" i="5"/>
  <c r="E46" i="5"/>
  <c r="T45" i="5"/>
  <c r="N45" i="5"/>
  <c r="K45" i="5"/>
  <c r="E45" i="5"/>
  <c r="T44" i="5"/>
  <c r="N44" i="5"/>
  <c r="K44" i="5"/>
  <c r="E44" i="5"/>
  <c r="T43" i="5"/>
  <c r="N43" i="5"/>
  <c r="K43" i="5"/>
  <c r="E43" i="5"/>
  <c r="T42" i="5"/>
  <c r="N42" i="5"/>
  <c r="K42" i="5"/>
  <c r="E42" i="5"/>
  <c r="T41" i="5"/>
  <c r="N41" i="5"/>
  <c r="K41" i="5"/>
  <c r="E41" i="5"/>
  <c r="T37" i="5"/>
  <c r="N37" i="5"/>
  <c r="K37" i="5"/>
  <c r="E37" i="5"/>
  <c r="T36" i="5"/>
  <c r="N36" i="5"/>
  <c r="K36" i="5"/>
  <c r="E36" i="5"/>
  <c r="T35" i="5"/>
  <c r="N35" i="5"/>
  <c r="K35" i="5"/>
  <c r="E35" i="5"/>
  <c r="T34" i="5"/>
  <c r="N34" i="5"/>
  <c r="K34" i="5"/>
  <c r="E34" i="5"/>
  <c r="T33" i="5"/>
  <c r="N33" i="5"/>
  <c r="K33" i="5"/>
  <c r="E33" i="5"/>
  <c r="T32" i="5"/>
  <c r="N32" i="5"/>
  <c r="K32" i="5"/>
  <c r="E32" i="5"/>
  <c r="T31" i="5"/>
  <c r="N31" i="5"/>
  <c r="K31" i="5"/>
  <c r="E31" i="5"/>
  <c r="T30" i="5"/>
  <c r="N30" i="5"/>
  <c r="K30" i="5"/>
  <c r="E30" i="5"/>
  <c r="T29" i="5"/>
  <c r="N29" i="5"/>
  <c r="K29" i="5"/>
  <c r="E29" i="5"/>
  <c r="T28" i="5"/>
  <c r="N28" i="5"/>
  <c r="K28" i="5"/>
  <c r="E28" i="5"/>
  <c r="T27" i="5"/>
  <c r="N27" i="5"/>
  <c r="K27" i="5"/>
  <c r="E27" i="5"/>
  <c r="T26" i="5"/>
  <c r="N26" i="5"/>
  <c r="K26" i="5"/>
  <c r="E26" i="5"/>
  <c r="T25" i="5"/>
  <c r="N25" i="5"/>
  <c r="K25" i="5"/>
  <c r="E25" i="5"/>
  <c r="T24" i="5"/>
  <c r="N24" i="5"/>
  <c r="K24" i="5"/>
  <c r="E24" i="5"/>
  <c r="T23" i="5"/>
  <c r="N23" i="5"/>
  <c r="K23" i="5"/>
  <c r="E23" i="5"/>
  <c r="T22" i="5"/>
  <c r="N22" i="5"/>
  <c r="K22" i="5"/>
  <c r="E22" i="5"/>
  <c r="T18" i="5"/>
  <c r="N18" i="5"/>
  <c r="K18" i="5"/>
  <c r="E18" i="5"/>
  <c r="T17" i="5"/>
  <c r="N17" i="5"/>
  <c r="K17" i="5"/>
  <c r="E17" i="5"/>
  <c r="T16" i="5"/>
  <c r="N16" i="5"/>
  <c r="K16" i="5"/>
  <c r="E16" i="5"/>
  <c r="T15" i="5"/>
  <c r="N15" i="5"/>
  <c r="K15" i="5"/>
  <c r="E15" i="5"/>
  <c r="T14" i="5"/>
  <c r="N14" i="5"/>
  <c r="K14" i="5"/>
  <c r="E14" i="5"/>
  <c r="T13" i="5"/>
  <c r="N13" i="5"/>
  <c r="K13" i="5"/>
  <c r="E13" i="5"/>
  <c r="T12" i="5"/>
  <c r="N12" i="5"/>
  <c r="K12" i="5"/>
  <c r="E12" i="5"/>
  <c r="T11" i="5"/>
  <c r="N11" i="5"/>
  <c r="K11" i="5"/>
  <c r="E11" i="5"/>
  <c r="T10" i="5"/>
  <c r="N10" i="5"/>
  <c r="K10" i="5"/>
  <c r="E10" i="5"/>
  <c r="T9" i="5"/>
  <c r="N9" i="5"/>
  <c r="K9" i="5"/>
  <c r="E9" i="5"/>
  <c r="T8" i="5"/>
  <c r="N8" i="5"/>
  <c r="K8" i="5"/>
  <c r="E8" i="5"/>
  <c r="T7" i="5"/>
  <c r="N7" i="5"/>
  <c r="K7" i="5"/>
  <c r="E7" i="5"/>
  <c r="T6" i="5"/>
  <c r="N6" i="5"/>
  <c r="K6" i="5"/>
  <c r="E6" i="5"/>
  <c r="T5" i="5"/>
  <c r="N5" i="5"/>
  <c r="K5" i="5"/>
  <c r="E5" i="5"/>
  <c r="T4" i="5"/>
  <c r="N4" i="5"/>
  <c r="K4" i="5"/>
  <c r="E4" i="5"/>
  <c r="T3" i="5"/>
  <c r="N3" i="5"/>
  <c r="K3" i="5"/>
  <c r="E3" i="5"/>
</calcChain>
</file>

<file path=xl/sharedStrings.xml><?xml version="1.0" encoding="utf-8"?>
<sst xmlns="http://schemas.openxmlformats.org/spreadsheetml/2006/main" count="9344" uniqueCount="6148">
  <si>
    <t>Table E1.1.a Share of all adults who have ever attended school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</si>
  <si>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</si>
  <si>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</si>
  <si>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</si>
  <si>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</si>
  <si>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</si>
  <si>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</si>
  <si>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</si>
  <si>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</si>
  <si>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</si>
  <si>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</si>
  <si>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</si>
  <si>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</si>
  <si>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</si>
  <si>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</si>
  <si>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</si>
  <si>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</si>
  <si>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</si>
  <si>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</si>
  <si>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</si>
  <si>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</si>
  <si>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E1.2.a Share of females who have ever attended school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</si>
  <si>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</si>
  <si>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</si>
  <si>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</si>
  <si>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</si>
  <si>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</si>
  <si>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</si>
  <si>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</si>
  <si>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</si>
  <si>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</si>
  <si>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</si>
  <si>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</si>
  <si>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</si>
  <si>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</si>
  <si>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</si>
  <si>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</si>
  <si>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</si>
  <si>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</si>
  <si>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</si>
  <si>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</si>
  <si>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</si>
  <si>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E1.3.a Share of males who have ever attended school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</si>
  <si>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</si>
  <si>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</si>
  <si>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</si>
  <si>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</si>
  <si>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</si>
  <si>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</si>
  <si>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</si>
  <si>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</si>
  <si>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</si>
  <si>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</si>
  <si>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</si>
  <si>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</si>
  <si>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</si>
  <si>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</si>
  <si>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</si>
  <si>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</si>
  <si>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</si>
  <si>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</si>
  <si>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</si>
  <si>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</si>
  <si>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E1.4.a Share of rural residents who have ever attended school (%) (disaggregation a)</t>
  </si>
  <si>
    <t>Region</t>
  </si>
  <si>
    <t>No difficulty</t>
  </si>
  <si>
    <t>Any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</si>
  <si>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</si>
  <si>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</si>
  <si>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</si>
  <si>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</si>
  <si>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</si>
  <si>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</si>
  <si>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</si>
  <si>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</si>
  <si>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</si>
  <si>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</si>
  <si>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</si>
  <si>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</si>
  <si>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</si>
  <si>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</si>
  <si>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</si>
  <si>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</si>
  <si>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E1.5.a Share of urban residents who have ever attended school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</si>
  <si>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</si>
  <si>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</si>
  <si>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</si>
  <si>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</si>
  <si>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</si>
  <si>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</si>
  <si>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</si>
  <si>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</si>
  <si>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</si>
  <si>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</si>
  <si>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</si>
  <si>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</si>
  <si>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</si>
  <si>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</si>
  <si>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</si>
  <si>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</si>
  <si>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</si>
  <si>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</si>
  <si>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</si>
  <si>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</si>
  <si>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E1.1.b Share of all adults who have ever attended school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</si>
  <si>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</si>
  <si>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</si>
  <si>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</si>
  <si>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</si>
  <si>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</si>
  <si>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</si>
  <si>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</si>
  <si>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</si>
  <si>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</si>
  <si>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</si>
  <si>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</si>
  <si>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</si>
  <si>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</si>
  <si>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</si>
  <si>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</si>
  <si>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</si>
  <si>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</si>
  <si>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</si>
  <si>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</si>
  <si>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</si>
  <si>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E1.2.b Share of females who have ever attended school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</si>
  <si>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</si>
  <si>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</si>
  <si>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</si>
  <si>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</si>
  <si>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</si>
  <si>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</si>
  <si>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</si>
  <si>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</si>
  <si>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</si>
  <si>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</si>
  <si>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</si>
  <si>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</si>
  <si>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</si>
  <si>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</si>
  <si>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</si>
  <si>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</si>
  <si>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</si>
  <si>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</si>
  <si>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</si>
  <si>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</si>
  <si>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E1.3.b Share of males who have ever attended school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</si>
  <si>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</si>
  <si>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</si>
  <si>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</si>
  <si>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</si>
  <si>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</si>
  <si>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</si>
  <si>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</si>
  <si>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</si>
  <si>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</si>
  <si>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</si>
  <si>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</si>
  <si>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</si>
  <si>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</si>
  <si>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</si>
  <si>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</si>
  <si>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</si>
  <si>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</si>
  <si>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</si>
  <si>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</si>
  <si>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</si>
  <si>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E1.4.b Share of rural residents who have ever attended school (%) (disaggregation b)</t>
  </si>
  <si>
    <t>Region</t>
  </si>
  <si>
    <t>No difficulty</t>
  </si>
  <si>
    <t>Some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</si>
  <si>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</si>
  <si>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</si>
  <si>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</si>
  <si>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</si>
  <si>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</si>
  <si>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</si>
  <si>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</si>
  <si>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</si>
  <si>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</si>
  <si>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</si>
  <si>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</si>
  <si>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</si>
  <si>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</si>
  <si>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</si>
  <si>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</si>
  <si>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</si>
  <si>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E1.5.b Share of urban residents who have ever attended school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</si>
  <si>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</si>
  <si>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</si>
  <si>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</si>
  <si>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</si>
  <si>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</si>
  <si>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</si>
  <si>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</si>
  <si>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</si>
  <si>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</si>
  <si>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</si>
  <si>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</si>
  <si>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</si>
  <si>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</si>
  <si>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</si>
  <si>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</si>
  <si>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</si>
  <si>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</si>
  <si>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</si>
  <si>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</si>
  <si>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</si>
  <si>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</si>
  <si>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</si>
  <si>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</si>
  <si>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</si>
  <si>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</si>
  <si>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</si>
  <si>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</si>
  <si>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</si>
  <si>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</si>
  <si>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</si>
  <si>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</si>
  <si>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</si>
  <si>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</si>
  <si>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</si>
  <si>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</si>
  <si>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Table E1.1.c Share of all adults who have ever attended school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</si>
  <si>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</si>
  <si>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</si>
  <si>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</si>
  <si>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</si>
  <si>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</si>
  <si>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</si>
  <si>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</si>
  <si>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</si>
  <si>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</si>
  <si>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</si>
  <si>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</si>
  <si>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</si>
  <si>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</si>
  <si>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</si>
  <si>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</si>
  <si>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</si>
  <si>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</si>
  <si>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</si>
  <si>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</si>
  <si>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</si>
  <si>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E1.2.c Share of females who have ever attended school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</si>
  <si>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</si>
  <si>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</si>
  <si>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</si>
  <si>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</si>
  <si>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</si>
  <si>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</si>
  <si>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</si>
  <si>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</si>
  <si>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</si>
  <si>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</si>
  <si>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</si>
  <si>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</si>
  <si>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</si>
  <si>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</si>
  <si>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</si>
  <si>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</si>
  <si>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</si>
  <si>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</si>
  <si>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</si>
  <si>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</si>
  <si>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E1.3.c Share of males who have ever attended school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</si>
  <si>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</si>
  <si>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</si>
  <si>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</si>
  <si>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</si>
  <si>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</si>
  <si>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</si>
  <si>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</si>
  <si>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</si>
  <si>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</si>
  <si>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</si>
  <si>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</si>
  <si>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</si>
  <si>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</si>
  <si>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</si>
  <si>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</si>
  <si>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</si>
  <si>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</si>
  <si>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</si>
  <si>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</si>
  <si>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</si>
  <si>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E1.4.c Share of rural residents who have ever attended school (%) (disaggregation c)</t>
  </si>
  <si>
    <t>Region</t>
  </si>
  <si>
    <t>No or some difficulty</t>
  </si>
  <si>
    <t>At least a lot of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</si>
  <si>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</si>
  <si>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</si>
  <si>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</si>
  <si>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</si>
  <si>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</si>
  <si>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</si>
  <si>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</si>
  <si>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</si>
  <si>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</si>
  <si>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</si>
  <si>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</si>
  <si>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</si>
  <si>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</si>
  <si>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</si>
  <si>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</si>
  <si>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</si>
  <si>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E1.5.c Share of urban residents who have ever attended school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</si>
  <si>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</si>
  <si>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</si>
  <si>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</si>
  <si>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</si>
  <si>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</si>
  <si>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</si>
  <si>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</si>
  <si>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</si>
  <si>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</si>
  <si>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</si>
  <si>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</si>
  <si>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</si>
  <si>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</si>
  <si>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</si>
  <si>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</si>
  <si>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</si>
  <si>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</si>
  <si>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</si>
  <si>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</si>
  <si>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</si>
  <si>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E2.1.a Share of all adults who have less than primary school completion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</si>
  <si>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</si>
  <si>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</si>
  <si>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</si>
  <si>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</si>
  <si>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</si>
  <si>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</si>
  <si>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</si>
  <si>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</si>
  <si>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</si>
  <si>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</si>
  <si>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</si>
  <si>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</si>
  <si>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</si>
  <si>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</si>
  <si>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</si>
  <si>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</si>
  <si>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</si>
  <si>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</si>
  <si>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</si>
  <si>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</si>
  <si>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E2.2.a Share of females who have less than primary school completion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</si>
  <si>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</si>
  <si>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</si>
  <si>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</si>
  <si>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</si>
  <si>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</si>
  <si>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</si>
  <si>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</si>
  <si>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</si>
  <si>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</si>
  <si>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</si>
  <si>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</si>
  <si>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</si>
  <si>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</si>
  <si>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</si>
  <si>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</si>
  <si>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</si>
  <si>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</si>
  <si>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</si>
  <si>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</si>
  <si>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</si>
  <si>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E2.3.a Share of males who have less than primary school completion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</si>
  <si>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</si>
  <si>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</si>
  <si>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</si>
  <si>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</si>
  <si>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</si>
  <si>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</si>
  <si>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</si>
  <si>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</si>
  <si>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</si>
  <si>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</si>
  <si>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</si>
  <si>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</si>
  <si>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</si>
  <si>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</si>
  <si>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</si>
  <si>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</si>
  <si>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</si>
  <si>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</si>
  <si>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</si>
  <si>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</si>
  <si>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E2.4.a Share of rural residents who have less than primary school completion (%) (disaggregation a)</t>
  </si>
  <si>
    <t>Region</t>
  </si>
  <si>
    <t>No difficulty</t>
  </si>
  <si>
    <t>Any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</si>
  <si>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</si>
  <si>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</si>
  <si>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</si>
  <si>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</si>
  <si>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</si>
  <si>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</si>
  <si>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</si>
  <si>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</si>
  <si>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</si>
  <si>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</si>
  <si>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</si>
  <si>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</si>
  <si>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</si>
  <si>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</si>
  <si>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</si>
  <si>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</si>
  <si>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E2.5.a Share of urban residents who have less than primary school completion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</si>
  <si>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</si>
  <si>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</si>
  <si>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</si>
  <si>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</si>
  <si>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</si>
  <si>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</si>
  <si>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</si>
  <si>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</si>
  <si>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</si>
  <si>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</si>
  <si>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</si>
  <si>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</si>
  <si>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</si>
  <si>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</si>
  <si>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</si>
  <si>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</si>
  <si>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</si>
  <si>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</si>
  <si>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</si>
  <si>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</si>
  <si>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E2.1.b Share of all adults who have less than primary school completion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</si>
  <si>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</si>
  <si>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</si>
  <si>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</si>
  <si>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</si>
  <si>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</si>
  <si>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</si>
  <si>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</si>
  <si>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</si>
  <si>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</si>
  <si>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</si>
  <si>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</si>
  <si>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</si>
  <si>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</si>
  <si>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</si>
  <si>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</si>
  <si>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</si>
  <si>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</si>
  <si>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</si>
  <si>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</si>
  <si>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</si>
  <si>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E2.2.b Share of females who have less than primary school completion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</si>
  <si>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</si>
  <si>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</si>
  <si>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</si>
  <si>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</si>
  <si>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</si>
  <si>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</si>
  <si>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</si>
  <si>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</si>
  <si>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</si>
  <si>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</si>
  <si>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</si>
  <si>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</si>
  <si>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</si>
  <si>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</si>
  <si>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</si>
  <si>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</si>
  <si>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</si>
  <si>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</si>
  <si>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</si>
  <si>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</si>
  <si>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E2.3.b Share of males who have less than primary school completion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</si>
  <si>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</si>
  <si>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</si>
  <si>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</si>
  <si>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</si>
  <si>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</si>
  <si>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</si>
  <si>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</si>
  <si>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</si>
  <si>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</si>
  <si>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</si>
  <si>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</si>
  <si>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</si>
  <si>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</si>
  <si>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</si>
  <si>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</si>
  <si>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</si>
  <si>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</si>
  <si>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</si>
  <si>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</si>
  <si>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</si>
  <si>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E2.4.b Share of rural residents who have less than primary school completion (%) (disaggregation b)</t>
  </si>
  <si>
    <t>Region</t>
  </si>
  <si>
    <t>No difficulty</t>
  </si>
  <si>
    <t>Some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</si>
  <si>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</si>
  <si>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</si>
  <si>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</si>
  <si>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</si>
  <si>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</si>
  <si>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</si>
  <si>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</si>
  <si>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</si>
  <si>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</si>
  <si>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</si>
  <si>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</si>
  <si>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</si>
  <si>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</si>
  <si>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</si>
  <si>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</si>
  <si>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</si>
  <si>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E2.5.b Share of urban residents who have less than primary school completion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</si>
  <si>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</si>
  <si>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</si>
  <si>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</si>
  <si>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</si>
  <si>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</si>
  <si>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</si>
  <si>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</si>
  <si>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</si>
  <si>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</si>
  <si>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</si>
  <si>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</si>
  <si>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</si>
  <si>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</si>
  <si>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</si>
  <si>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</si>
  <si>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</si>
  <si>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</si>
  <si>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</si>
  <si>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</si>
  <si>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</si>
  <si>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</si>
  <si>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</si>
  <si>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</si>
  <si>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</si>
  <si>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</si>
  <si>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</si>
  <si>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</si>
  <si>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</si>
  <si>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</si>
  <si>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</si>
  <si>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</si>
  <si>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</si>
  <si>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</si>
  <si>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</si>
  <si>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</si>
  <si>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Table E2.1.c Share of all adults who have less than primary school completion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</si>
  <si>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</si>
  <si>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</si>
  <si>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</si>
  <si>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</si>
  <si>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</si>
  <si>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</si>
  <si>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</si>
  <si>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</si>
  <si>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</si>
  <si>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</si>
  <si>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</si>
  <si>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</si>
  <si>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</si>
  <si>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</si>
  <si>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</si>
  <si>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</si>
  <si>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</si>
  <si>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</si>
  <si>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</si>
  <si>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</si>
  <si>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E2.2.c Share of females who have less than primary school completion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</si>
  <si>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</si>
  <si>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</si>
  <si>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</si>
  <si>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</si>
  <si>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</si>
  <si>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</si>
  <si>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</si>
  <si>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</si>
  <si>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</si>
  <si>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</si>
  <si>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</si>
  <si>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</si>
  <si>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</si>
  <si>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</si>
  <si>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</si>
  <si>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</si>
  <si>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</si>
  <si>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</si>
  <si>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</si>
  <si>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</si>
  <si>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E2.3.c Share of males who have less than primary school completion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</si>
  <si>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</si>
  <si>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</si>
  <si>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</si>
  <si>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</si>
  <si>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</si>
  <si>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</si>
  <si>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</si>
  <si>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</si>
  <si>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</si>
  <si>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</si>
  <si>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</si>
  <si>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</si>
  <si>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</si>
  <si>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</si>
  <si>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</si>
  <si>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</si>
  <si>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</si>
  <si>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</si>
  <si>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</si>
  <si>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</si>
  <si>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E2.4.c Share of rural residents who have less than primary school completion (%) (disaggregation c)</t>
  </si>
  <si>
    <t>Region</t>
  </si>
  <si>
    <t>No or some difficulty</t>
  </si>
  <si>
    <t>At least a lot of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</si>
  <si>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</si>
  <si>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</si>
  <si>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</si>
  <si>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</si>
  <si>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</si>
  <si>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</si>
  <si>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</si>
  <si>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</si>
  <si>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</si>
  <si>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</si>
  <si>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</si>
  <si>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</si>
  <si>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</si>
  <si>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</si>
  <si>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</si>
  <si>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</si>
  <si>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E2.5.c Share of urban residents who have less than primary school completion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</si>
  <si>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</si>
  <si>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</si>
  <si>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</si>
  <si>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</si>
  <si>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</si>
  <si>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</si>
  <si>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</si>
  <si>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</si>
  <si>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</si>
  <si>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</si>
  <si>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</si>
  <si>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</si>
  <si>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</si>
  <si>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</si>
  <si>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</si>
  <si>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</si>
  <si>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</si>
  <si>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</si>
  <si>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</si>
  <si>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</si>
  <si>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E3.1.a Share of all adults who have completed primary school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</si>
  <si>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</si>
  <si>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</si>
  <si>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</si>
  <si>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</si>
  <si>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</si>
  <si>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</si>
  <si>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</si>
  <si>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</si>
  <si>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</si>
  <si>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</si>
  <si>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</si>
  <si>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</si>
  <si>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</si>
  <si>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</si>
  <si>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</si>
  <si>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</si>
  <si>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</si>
  <si>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</si>
  <si>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</si>
  <si>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</si>
  <si>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E3.2.a Share of females who have completed primary school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</si>
  <si>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</si>
  <si>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</si>
  <si>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</si>
  <si>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</si>
  <si>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</si>
  <si>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</si>
  <si>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</si>
  <si>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</si>
  <si>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</si>
  <si>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</si>
  <si>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</si>
  <si>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</si>
  <si>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</si>
  <si>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</si>
  <si>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</si>
  <si>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</si>
  <si>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</si>
  <si>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</si>
  <si>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</si>
  <si>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</si>
  <si>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E3.3.a Share of males who have completed primary school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</si>
  <si>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</si>
  <si>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</si>
  <si>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</si>
  <si>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</si>
  <si>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</si>
  <si>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</si>
  <si>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</si>
  <si>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</si>
  <si>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</si>
  <si>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</si>
  <si>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</si>
  <si>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</si>
  <si>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</si>
  <si>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</si>
  <si>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</si>
  <si>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</si>
  <si>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</si>
  <si>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</si>
  <si>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</si>
  <si>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</si>
  <si>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E3.4.a Share of rural residents who have completed primary school (%) (disaggregation a)</t>
  </si>
  <si>
    <t>Region</t>
  </si>
  <si>
    <t>No difficulty</t>
  </si>
  <si>
    <t>Any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</si>
  <si>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</si>
  <si>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</si>
  <si>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</si>
  <si>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</si>
  <si>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</si>
  <si>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</si>
  <si>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</si>
  <si>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</si>
  <si>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</si>
  <si>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</si>
  <si>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</si>
  <si>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</si>
  <si>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</si>
  <si>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</si>
  <si>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</si>
  <si>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</si>
  <si>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E3.5.a Share of urban residents who have completed primary school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</si>
  <si>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</si>
  <si>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</si>
  <si>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</si>
  <si>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</si>
  <si>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</si>
  <si>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</si>
  <si>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</si>
  <si>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</si>
  <si>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</si>
  <si>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</si>
  <si>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</si>
  <si>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</si>
  <si>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</si>
  <si>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</si>
  <si>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</si>
  <si>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</si>
  <si>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</si>
  <si>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</si>
  <si>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</si>
  <si>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</si>
  <si>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E3.1.b Share of all adults who have completed primary school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</si>
  <si>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</si>
  <si>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</si>
  <si>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</si>
  <si>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</si>
  <si>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</si>
  <si>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</si>
  <si>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</si>
  <si>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</si>
  <si>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</si>
  <si>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</si>
  <si>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</si>
  <si>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</si>
  <si>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</si>
  <si>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</si>
  <si>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</si>
  <si>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</si>
  <si>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</si>
  <si>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</si>
  <si>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</si>
  <si>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</si>
  <si>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E3.2.b Share of females who have completed primary school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</si>
  <si>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</si>
  <si>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</si>
  <si>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</si>
  <si>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</si>
  <si>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</si>
  <si>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</si>
  <si>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</si>
  <si>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</si>
  <si>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</si>
  <si>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</si>
  <si>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</si>
  <si>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</si>
  <si>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</si>
  <si>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</si>
  <si>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</si>
  <si>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</si>
  <si>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</si>
  <si>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</si>
  <si>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</si>
  <si>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</si>
  <si>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E3.3.b Share of males who have completed primary school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</si>
  <si>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</si>
  <si>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</si>
  <si>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</si>
  <si>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</si>
  <si>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</si>
  <si>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</si>
  <si>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</si>
  <si>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</si>
  <si>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</si>
  <si>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</si>
  <si>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</si>
  <si>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</si>
  <si>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</si>
  <si>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</si>
  <si>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</si>
  <si>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</si>
  <si>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</si>
  <si>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</si>
  <si>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</si>
  <si>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</si>
  <si>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E3.4.b Share of rural residents who have completed primary school (%) (disaggregation b)</t>
  </si>
  <si>
    <t>Region</t>
  </si>
  <si>
    <t>No difficulty</t>
  </si>
  <si>
    <t>Some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</si>
  <si>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</si>
  <si>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</si>
  <si>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</si>
  <si>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</si>
  <si>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</si>
  <si>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</si>
  <si>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</si>
  <si>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</si>
  <si>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</si>
  <si>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</si>
  <si>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</si>
  <si>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</si>
  <si>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</si>
  <si>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</si>
  <si>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</si>
  <si>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</si>
  <si>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E3.5.b Share of urban residents who have completed primary school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</si>
  <si>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</si>
  <si>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</si>
  <si>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</si>
  <si>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</si>
  <si>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</si>
  <si>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</si>
  <si>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</si>
  <si>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</si>
  <si>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</si>
  <si>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</si>
  <si>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</si>
  <si>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</si>
  <si>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</si>
  <si>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</si>
  <si>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</si>
  <si>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</si>
  <si>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</si>
  <si>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</si>
  <si>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</si>
  <si>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</si>
  <si>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</si>
  <si>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</si>
  <si>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</si>
  <si>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</si>
  <si>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</si>
  <si>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</si>
  <si>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</si>
  <si>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</si>
  <si>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</si>
  <si>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</si>
  <si>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</si>
  <si>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</si>
  <si>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</si>
  <si>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</si>
  <si>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</si>
  <si>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Table E3.1.c Share of all adults who have completed primary school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</si>
  <si>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</si>
  <si>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</si>
  <si>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</si>
  <si>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</si>
  <si>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</si>
  <si>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</si>
  <si>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</si>
  <si>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</si>
  <si>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</si>
  <si>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</si>
  <si>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</si>
  <si>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</si>
  <si>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</si>
  <si>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</si>
  <si>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</si>
  <si>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</si>
  <si>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</si>
  <si>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</si>
  <si>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</si>
  <si>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</si>
  <si>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E3.2.c Share of females who have completed primary school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</si>
  <si>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</si>
  <si>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</si>
  <si>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</si>
  <si>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</si>
  <si>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</si>
  <si>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</si>
  <si>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</si>
  <si>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</si>
  <si>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</si>
  <si>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</si>
  <si>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</si>
  <si>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</si>
  <si>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</si>
  <si>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</si>
  <si>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</si>
  <si>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</si>
  <si>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</si>
  <si>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</si>
  <si>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</si>
  <si>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</si>
  <si>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E3.3.c Share of males who have completed primary school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</si>
  <si>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</si>
  <si>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</si>
  <si>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</si>
  <si>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</si>
  <si>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</si>
  <si>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</si>
  <si>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</si>
  <si>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</si>
  <si>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</si>
  <si>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</si>
  <si>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</si>
  <si>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</si>
  <si>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</si>
  <si>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</si>
  <si>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</si>
  <si>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</si>
  <si>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</si>
  <si>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</si>
  <si>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</si>
  <si>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</si>
  <si>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E3.4.c Share of rural residents who have completed primary school (%) (disaggregation c)</t>
  </si>
  <si>
    <t>Region</t>
  </si>
  <si>
    <t>No or some difficulty</t>
  </si>
  <si>
    <t>At least a lot of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</si>
  <si>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</si>
  <si>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</si>
  <si>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</si>
  <si>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</si>
  <si>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</si>
  <si>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</si>
  <si>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</si>
  <si>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</si>
  <si>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</si>
  <si>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</si>
  <si>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</si>
  <si>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</si>
  <si>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</si>
  <si>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</si>
  <si>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</si>
  <si>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</si>
  <si>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E3.5.c Share of urban residents who have completed primary school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</si>
  <si>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</si>
  <si>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</si>
  <si>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</si>
  <si>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</si>
  <si>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</si>
  <si>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</si>
  <si>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</si>
  <si>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</si>
  <si>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</si>
  <si>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</si>
  <si>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</si>
  <si>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</si>
  <si>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</si>
  <si>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</si>
  <si>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</si>
  <si>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</si>
  <si>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</si>
  <si>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</si>
  <si>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</si>
  <si>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</si>
  <si>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E4.1.a Share of all adults who have completed secondary school or higher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</si>
  <si>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</si>
  <si>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</si>
  <si>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</si>
  <si>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</si>
  <si>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</si>
  <si>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</si>
  <si>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</si>
  <si>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</si>
  <si>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</si>
  <si>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</si>
  <si>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</si>
  <si>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</si>
  <si>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</si>
  <si>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</si>
  <si>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</si>
  <si>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</si>
  <si>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</si>
  <si>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</si>
  <si>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</si>
  <si>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</si>
  <si>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E4.2.a Share of females who have completed secondary school or higher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</si>
  <si>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</si>
  <si>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</si>
  <si>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</si>
  <si>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</si>
  <si>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</si>
  <si>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</si>
  <si>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</si>
  <si>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</si>
  <si>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</si>
  <si>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</si>
  <si>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</si>
  <si>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</si>
  <si>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</si>
  <si>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</si>
  <si>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</si>
  <si>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</si>
  <si>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</si>
  <si>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</si>
  <si>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</si>
  <si>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</si>
  <si>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E4.3.a Share of males who have completed secondary school or higher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</si>
  <si>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</si>
  <si>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</si>
  <si>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</si>
  <si>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</si>
  <si>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</si>
  <si>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</si>
  <si>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</si>
  <si>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</si>
  <si>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</si>
  <si>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</si>
  <si>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</si>
  <si>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</si>
  <si>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</si>
  <si>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</si>
  <si>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</si>
  <si>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</si>
  <si>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</si>
  <si>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</si>
  <si>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</si>
  <si>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</si>
  <si>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E4.4.a Share of rural residents who have completed secondary school or higher (%) (disaggregation a)</t>
  </si>
  <si>
    <t>Region</t>
  </si>
  <si>
    <t>No difficulty</t>
  </si>
  <si>
    <t>Any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</si>
  <si>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</si>
  <si>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</si>
  <si>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</si>
  <si>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</si>
  <si>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</si>
  <si>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</si>
  <si>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</si>
  <si>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</si>
  <si>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</si>
  <si>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</si>
  <si>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</si>
  <si>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</si>
  <si>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</si>
  <si>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</si>
  <si>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</si>
  <si>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</si>
  <si>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E4.5.a Share of urban residents who have completed secondary school or higher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</si>
  <si>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</si>
  <si>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</si>
  <si>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</si>
  <si>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</si>
  <si>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</si>
  <si>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</si>
  <si>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</si>
  <si>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</si>
  <si>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</si>
  <si>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</si>
  <si>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</si>
  <si>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</si>
  <si>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</si>
  <si>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</si>
  <si>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</si>
  <si>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</si>
  <si>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</si>
  <si>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</si>
  <si>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</si>
  <si>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</si>
  <si>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E4.1.b Share of all adults who have completed secondary school or higher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</si>
  <si>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</si>
  <si>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</si>
  <si>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</si>
  <si>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</si>
  <si>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</si>
  <si>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</si>
  <si>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</si>
  <si>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</si>
  <si>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</si>
  <si>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</si>
  <si>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</si>
  <si>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</si>
  <si>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</si>
  <si>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</si>
  <si>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</si>
  <si>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</si>
  <si>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</si>
  <si>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</si>
  <si>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</si>
  <si>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</si>
  <si>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E4.2.b Share of females who have completed secondary school or higher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</si>
  <si>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</si>
  <si>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</si>
  <si>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</si>
  <si>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</si>
  <si>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</si>
  <si>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</si>
  <si>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</si>
  <si>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</si>
  <si>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</si>
  <si>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</si>
  <si>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</si>
  <si>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</si>
  <si>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</si>
  <si>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</si>
  <si>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</si>
  <si>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</si>
  <si>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</si>
  <si>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</si>
  <si>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</si>
  <si>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</si>
  <si>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E4.3.b Share of males who have completed secondary school or higher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</si>
  <si>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</si>
  <si>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</si>
  <si>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</si>
  <si>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</si>
  <si>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</si>
  <si>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</si>
  <si>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</si>
  <si>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</si>
  <si>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</si>
  <si>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</si>
  <si>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</si>
  <si>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</si>
  <si>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</si>
  <si>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</si>
  <si>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</si>
  <si>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</si>
  <si>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</si>
  <si>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</si>
  <si>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</si>
  <si>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</si>
  <si>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E4.4.b Share of rural residents who have completed secondary school or higher (%) (disaggregation b)</t>
  </si>
  <si>
    <t>Region</t>
  </si>
  <si>
    <t>No difficulty</t>
  </si>
  <si>
    <t>Some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</si>
  <si>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</si>
  <si>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</si>
  <si>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</si>
  <si>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</si>
  <si>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</si>
  <si>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</si>
  <si>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</si>
  <si>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</si>
  <si>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</si>
  <si>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</si>
  <si>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</si>
  <si>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</si>
  <si>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</si>
  <si>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</si>
  <si>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</si>
  <si>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</si>
  <si>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E4.5.b Share of urban residents who have completed secondary school or higher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</si>
  <si>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</si>
  <si>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</si>
  <si>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</si>
  <si>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</si>
  <si>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</si>
  <si>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</si>
  <si>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</si>
  <si>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</si>
  <si>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</si>
  <si>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</si>
  <si>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</si>
  <si>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</si>
  <si>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</si>
  <si>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</si>
  <si>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</si>
  <si>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</si>
  <si>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</si>
  <si>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</si>
  <si>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</si>
  <si>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</si>
  <si>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</si>
  <si>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</si>
  <si>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</si>
  <si>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</si>
  <si>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</si>
  <si>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</si>
  <si>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</si>
  <si>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</si>
  <si>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</si>
  <si>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</si>
  <si>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</si>
  <si>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</si>
  <si>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</si>
  <si>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</si>
  <si>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</si>
  <si>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Table E4.1.c Share of all adults who have completed secondary school or higher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</si>
  <si>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</si>
  <si>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</si>
  <si>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</si>
  <si>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</si>
  <si>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</si>
  <si>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</si>
  <si>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</si>
  <si>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</si>
  <si>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</si>
  <si>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</si>
  <si>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</si>
  <si>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</si>
  <si>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</si>
  <si>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</si>
  <si>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</si>
  <si>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</si>
  <si>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</si>
  <si>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</si>
  <si>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</si>
  <si>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</si>
  <si>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E4.2.c Share of females who have completed secondary school or higher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</si>
  <si>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</si>
  <si>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</si>
  <si>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</si>
  <si>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</si>
  <si>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</si>
  <si>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</si>
  <si>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</si>
  <si>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</si>
  <si>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</si>
  <si>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</si>
  <si>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</si>
  <si>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</si>
  <si>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</si>
  <si>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</si>
  <si>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</si>
  <si>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</si>
  <si>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</si>
  <si>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</si>
  <si>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</si>
  <si>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</si>
  <si>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E4.3.c Share of males who have completed secondary school or higher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</si>
  <si>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</si>
  <si>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</si>
  <si>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</si>
  <si>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</si>
  <si>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</si>
  <si>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</si>
  <si>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</si>
  <si>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</si>
  <si>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</si>
  <si>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</si>
  <si>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</si>
  <si>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</si>
  <si>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</si>
  <si>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</si>
  <si>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</si>
  <si>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</si>
  <si>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</si>
  <si>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</si>
  <si>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</si>
  <si>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</si>
  <si>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E4.4.c Share of rural residents who have completed secondary school or higher (%) (disaggregation c)</t>
  </si>
  <si>
    <t>Region</t>
  </si>
  <si>
    <t>No or some difficulty</t>
  </si>
  <si>
    <t>At least a lot of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</si>
  <si>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</si>
  <si>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</si>
  <si>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</si>
  <si>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</si>
  <si>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</si>
  <si>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</si>
  <si>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</si>
  <si>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</si>
  <si>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</si>
  <si>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</si>
  <si>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</si>
  <si>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</si>
  <si>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</si>
  <si>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</si>
  <si>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</si>
  <si>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</si>
  <si>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E4.5.c Share of urban residents who have completed secondary school or higher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</si>
  <si>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</si>
  <si>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</si>
  <si>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</si>
  <si>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</si>
  <si>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</si>
  <si>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</si>
  <si>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</si>
  <si>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</si>
  <si>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</si>
  <si>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</si>
  <si>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</si>
  <si>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</si>
  <si>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</si>
  <si>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</si>
  <si>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</si>
  <si>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</si>
  <si>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</si>
  <si>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</si>
  <si>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</si>
  <si>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</si>
  <si>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H1.1.a Share of all adults in households using safely managed drinking water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</si>
  <si>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</si>
  <si>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</si>
  <si>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</si>
  <si>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</si>
  <si>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</si>
  <si>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</si>
  <si>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</si>
  <si>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</si>
  <si>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</si>
  <si>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</si>
  <si>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</si>
  <si>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</si>
  <si>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</si>
  <si>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</si>
  <si>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</si>
  <si>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</si>
  <si>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</si>
  <si>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</si>
  <si>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</si>
  <si>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</si>
  <si>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H1.2.a Share of females in households using safely managed drinking water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</si>
  <si>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</si>
  <si>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</si>
  <si>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</si>
  <si>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</si>
  <si>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</si>
  <si>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</si>
  <si>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</si>
  <si>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</si>
  <si>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</si>
  <si>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</si>
  <si>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</si>
  <si>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</si>
  <si>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</si>
  <si>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</si>
  <si>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</si>
  <si>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</si>
  <si>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</si>
  <si>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</si>
  <si>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</si>
  <si>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</si>
  <si>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H1.3.a Share of males in households using safely managed drinking water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</si>
  <si>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</si>
  <si>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</si>
  <si>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</si>
  <si>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</si>
  <si>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</si>
  <si>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</si>
  <si>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</si>
  <si>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</si>
  <si>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</si>
  <si>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</si>
  <si>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</si>
  <si>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</si>
  <si>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</si>
  <si>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</si>
  <si>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</si>
  <si>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</si>
  <si>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</si>
  <si>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</si>
  <si>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</si>
  <si>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</si>
  <si>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H1.4.a Share of rural residents in households using safely managed drinking water (%) (disaggregation a)</t>
  </si>
  <si>
    <t>Region</t>
  </si>
  <si>
    <t>No difficulty</t>
  </si>
  <si>
    <t>Any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</si>
  <si>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</si>
  <si>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</si>
  <si>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</si>
  <si>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</si>
  <si>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</si>
  <si>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</si>
  <si>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</si>
  <si>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</si>
  <si>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</si>
  <si>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</si>
  <si>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</si>
  <si>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</si>
  <si>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</si>
  <si>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</si>
  <si>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</si>
  <si>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</si>
  <si>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H1.5.a Share of urban residents in households using safely managed drinking water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</si>
  <si>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</si>
  <si>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</si>
  <si>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</si>
  <si>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</si>
  <si>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</si>
  <si>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</si>
  <si>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</si>
  <si>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</si>
  <si>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</si>
  <si>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</si>
  <si>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</si>
  <si>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</si>
  <si>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</si>
  <si>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</si>
  <si>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</si>
  <si>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</si>
  <si>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</si>
  <si>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</si>
  <si>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</si>
  <si>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</si>
  <si>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H1.1.b Share of all adults in households using safely managed drinking water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</si>
  <si>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</si>
  <si>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</si>
  <si>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</si>
  <si>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</si>
  <si>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</si>
  <si>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</si>
  <si>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</si>
  <si>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</si>
  <si>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</si>
  <si>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</si>
  <si>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</si>
  <si>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</si>
  <si>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</si>
  <si>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</si>
  <si>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</si>
  <si>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</si>
  <si>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</si>
  <si>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</si>
  <si>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</si>
  <si>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</si>
  <si>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H1.2.b Share of females in households using safely managed drinking water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</si>
  <si>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</si>
  <si>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</si>
  <si>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</si>
  <si>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</si>
  <si>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</si>
  <si>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</si>
  <si>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</si>
  <si>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</si>
  <si>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</si>
  <si>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</si>
  <si>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</si>
  <si>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</si>
  <si>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</si>
  <si>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</si>
  <si>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</si>
  <si>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</si>
  <si>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</si>
  <si>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</si>
  <si>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</si>
  <si>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</si>
  <si>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H1.3.b Share of males in households using safely managed drinking water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</si>
  <si>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</si>
  <si>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</si>
  <si>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</si>
  <si>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</si>
  <si>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</si>
  <si>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</si>
  <si>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</si>
  <si>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</si>
  <si>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</si>
  <si>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</si>
  <si>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</si>
  <si>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</si>
  <si>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</si>
  <si>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</si>
  <si>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</si>
  <si>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</si>
  <si>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</si>
  <si>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</si>
  <si>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</si>
  <si>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</si>
  <si>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H1.4.b Share of rural residents in households using safely managed drinking water (%) (disaggregation b)</t>
  </si>
  <si>
    <t>Region</t>
  </si>
  <si>
    <t>No difficulty</t>
  </si>
  <si>
    <t>Some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</si>
  <si>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</si>
  <si>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</si>
  <si>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</si>
  <si>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</si>
  <si>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</si>
  <si>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</si>
  <si>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</si>
  <si>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</si>
  <si>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</si>
  <si>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</si>
  <si>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</si>
  <si>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</si>
  <si>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</si>
  <si>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</si>
  <si>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</si>
  <si>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</si>
  <si>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H1.5.b Share of urban residents in households using safely managed drinking water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</si>
  <si>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</si>
  <si>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</si>
  <si>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</si>
  <si>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</si>
  <si>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</si>
  <si>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</si>
  <si>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</si>
  <si>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</si>
  <si>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</si>
  <si>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</si>
  <si>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</si>
  <si>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</si>
  <si>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</si>
  <si>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</si>
  <si>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</si>
  <si>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</si>
  <si>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</si>
  <si>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</si>
  <si>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</si>
  <si>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</si>
  <si>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</si>
  <si>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</si>
  <si>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</si>
  <si>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</si>
  <si>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</si>
  <si>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</si>
  <si>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</si>
  <si>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</si>
  <si>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</si>
  <si>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</si>
  <si>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</si>
  <si>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</si>
  <si>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</si>
  <si>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</si>
  <si>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</si>
  <si>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Table H1.1.c Share of all adults in households using safely managed drinking water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</si>
  <si>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</si>
  <si>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</si>
  <si>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</si>
  <si>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</si>
  <si>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</si>
  <si>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</si>
  <si>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</si>
  <si>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</si>
  <si>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</si>
  <si>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</si>
  <si>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</si>
  <si>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</si>
  <si>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</si>
  <si>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</si>
  <si>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</si>
  <si>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</si>
  <si>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</si>
  <si>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</si>
  <si>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</si>
  <si>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</si>
  <si>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H1.2.c Share of females in households using safely managed drinking water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</si>
  <si>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</si>
  <si>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</si>
  <si>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</si>
  <si>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</si>
  <si>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</si>
  <si>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</si>
  <si>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</si>
  <si>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</si>
  <si>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</si>
  <si>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</si>
  <si>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</si>
  <si>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</si>
  <si>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</si>
  <si>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</si>
  <si>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</si>
  <si>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</si>
  <si>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</si>
  <si>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</si>
  <si>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</si>
  <si>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</si>
  <si>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H1.3.c Share of males in households using safely managed drinking water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</si>
  <si>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</si>
  <si>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</si>
  <si>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</si>
  <si>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</si>
  <si>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</si>
  <si>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</si>
  <si>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</si>
  <si>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</si>
  <si>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</si>
  <si>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</si>
  <si>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</si>
  <si>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</si>
  <si>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</si>
  <si>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</si>
  <si>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</si>
  <si>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</si>
  <si>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</si>
  <si>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</si>
  <si>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</si>
  <si>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</si>
  <si>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H1.4.c Share of rural residents in households using safely managed drinking water (%) (disaggregation c)</t>
  </si>
  <si>
    <t>Region</t>
  </si>
  <si>
    <t>No or some difficulty</t>
  </si>
  <si>
    <t>At least a lot of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</si>
  <si>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</si>
  <si>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</si>
  <si>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</si>
  <si>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</si>
  <si>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</si>
  <si>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</si>
  <si>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</si>
  <si>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</si>
  <si>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</si>
  <si>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</si>
  <si>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</si>
  <si>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</si>
  <si>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</si>
  <si>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</si>
  <si>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</si>
  <si>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</si>
  <si>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H1.5.c Share of urban residents in households using safely managed drinking water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</si>
  <si>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</si>
  <si>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</si>
  <si>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</si>
  <si>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</si>
  <si>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</si>
  <si>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</si>
  <si>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</si>
  <si>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</si>
  <si>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</si>
  <si>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</si>
  <si>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</si>
  <si>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</si>
  <si>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</si>
  <si>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</si>
  <si>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</si>
  <si>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</si>
  <si>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</si>
  <si>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</si>
  <si>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</si>
  <si>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</si>
  <si>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H2.1.a Share of all adults in households using safely managed sanitation services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</si>
  <si>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</si>
  <si>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</si>
  <si>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</si>
  <si>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</si>
  <si>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</si>
  <si>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</si>
  <si>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</si>
  <si>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</si>
  <si>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</si>
  <si>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</si>
  <si>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</si>
  <si>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</si>
  <si>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</si>
  <si>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</si>
  <si>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</si>
  <si>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</si>
  <si>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</si>
  <si>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</si>
  <si>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</si>
  <si>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</si>
  <si>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H2.2.a Share of females in households using safely managed sanitation services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</si>
  <si>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</si>
  <si>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</si>
  <si>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</si>
  <si>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</si>
  <si>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</si>
  <si>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</si>
  <si>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</si>
  <si>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</si>
  <si>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</si>
  <si>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</si>
  <si>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</si>
  <si>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</si>
  <si>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</si>
  <si>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</si>
  <si>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</si>
  <si>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</si>
  <si>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</si>
  <si>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</si>
  <si>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</si>
  <si>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</si>
  <si>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H2.3.a Share of males in households using safely managed sanitation services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</si>
  <si>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</si>
  <si>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</si>
  <si>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</si>
  <si>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</si>
  <si>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</si>
  <si>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</si>
  <si>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</si>
  <si>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</si>
  <si>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</si>
  <si>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</si>
  <si>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</si>
  <si>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</si>
  <si>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</si>
  <si>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</si>
  <si>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</si>
  <si>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</si>
  <si>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</si>
  <si>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</si>
  <si>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</si>
  <si>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</si>
  <si>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H2.4.a Share of rural residents in households using safely managed sanitation services (%) (disaggregation a)</t>
  </si>
  <si>
    <t>Region</t>
  </si>
  <si>
    <t>No difficulty</t>
  </si>
  <si>
    <t>Any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</si>
  <si>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</si>
  <si>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</si>
  <si>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</si>
  <si>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</si>
  <si>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</si>
  <si>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</si>
  <si>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</si>
  <si>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</si>
  <si>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</si>
  <si>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</si>
  <si>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</si>
  <si>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</si>
  <si>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</si>
  <si>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</si>
  <si>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</si>
  <si>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</si>
  <si>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H2.5.a Share of urban residents in households using safely managed sanitation services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</si>
  <si>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</si>
  <si>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</si>
  <si>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</si>
  <si>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</si>
  <si>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</si>
  <si>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</si>
  <si>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</si>
  <si>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</si>
  <si>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</si>
  <si>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</si>
  <si>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</si>
  <si>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</si>
  <si>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</si>
  <si>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</si>
  <si>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</si>
  <si>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</si>
  <si>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</si>
  <si>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</si>
  <si>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</si>
  <si>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</si>
  <si>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H2.1.b Share of all adults in households using safely managed sanitation services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</si>
  <si>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</si>
  <si>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</si>
  <si>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</si>
  <si>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</si>
  <si>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</si>
  <si>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</si>
  <si>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</si>
  <si>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</si>
  <si>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</si>
  <si>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</si>
  <si>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</si>
  <si>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</si>
  <si>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</si>
  <si>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</si>
  <si>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</si>
  <si>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</si>
  <si>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</si>
  <si>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</si>
  <si>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</si>
  <si>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</si>
  <si>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H2.2.b Share of females in households using safely managed sanitation services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</si>
  <si>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</si>
  <si>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</si>
  <si>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</si>
  <si>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</si>
  <si>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</si>
  <si>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</si>
  <si>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</si>
  <si>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</si>
  <si>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</si>
  <si>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</si>
  <si>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</si>
  <si>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</si>
  <si>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</si>
  <si>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</si>
  <si>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</si>
  <si>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</si>
  <si>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</si>
  <si>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</si>
  <si>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</si>
  <si>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</si>
  <si>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H2.3.b Share of males in households using safely managed sanitation services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</si>
  <si>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</si>
  <si>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</si>
  <si>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</si>
  <si>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</si>
  <si>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</si>
  <si>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</si>
  <si>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</si>
  <si>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</si>
  <si>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</si>
  <si>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</si>
  <si>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</si>
  <si>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</si>
  <si>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</si>
  <si>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</si>
  <si>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</si>
  <si>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</si>
  <si>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</si>
  <si>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</si>
  <si>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</si>
  <si>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</si>
  <si>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H2.4.b Share of rural residents in households using safely managed sanitation services (%) (disaggregation b)</t>
  </si>
  <si>
    <t>Region</t>
  </si>
  <si>
    <t>No difficulty</t>
  </si>
  <si>
    <t>Some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</si>
  <si>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</si>
  <si>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</si>
  <si>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</si>
  <si>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</si>
  <si>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</si>
  <si>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</si>
  <si>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</si>
  <si>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</si>
  <si>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</si>
  <si>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</si>
  <si>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</si>
  <si>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</si>
  <si>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</si>
  <si>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</si>
  <si>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</si>
  <si>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</si>
  <si>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H2.5.b Share of urban residents in households using safely managed sanitation services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</si>
  <si>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</si>
  <si>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</si>
  <si>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</si>
  <si>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</si>
  <si>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</si>
  <si>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</si>
  <si>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</si>
  <si>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</si>
  <si>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</si>
  <si>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</si>
  <si>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</si>
  <si>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</si>
  <si>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</si>
  <si>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</si>
  <si>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</si>
  <si>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</si>
  <si>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</si>
  <si>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</si>
  <si>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</si>
  <si>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</si>
  <si>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</si>
  <si>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</si>
  <si>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</si>
  <si>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</si>
  <si>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</si>
  <si>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</si>
  <si>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</si>
  <si>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</si>
  <si>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</si>
  <si>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</si>
  <si>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</si>
  <si>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</si>
  <si>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</si>
  <si>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</si>
  <si>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</si>
  <si>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Table H2.1.c Share of all adults in households using safely managed sanitation services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</si>
  <si>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</si>
  <si>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</si>
  <si>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</si>
  <si>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</si>
  <si>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</si>
  <si>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</si>
  <si>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</si>
  <si>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</si>
  <si>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</si>
  <si>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</si>
  <si>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</si>
  <si>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</si>
  <si>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</si>
  <si>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</si>
  <si>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</si>
  <si>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</si>
  <si>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</si>
  <si>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</si>
  <si>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</si>
  <si>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</si>
  <si>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H2.2.c Share of females in households using safely managed sanitation services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</si>
  <si>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</si>
  <si>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</si>
  <si>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</si>
  <si>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</si>
  <si>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</si>
  <si>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</si>
  <si>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</si>
  <si>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</si>
  <si>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</si>
  <si>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</si>
  <si>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</si>
  <si>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</si>
  <si>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</si>
  <si>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</si>
  <si>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</si>
  <si>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</si>
  <si>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</si>
  <si>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</si>
  <si>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</si>
  <si>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</si>
  <si>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H2.3.c Share of males in households using safely managed sanitation services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</si>
  <si>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</si>
  <si>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</si>
  <si>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</si>
  <si>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</si>
  <si>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</si>
  <si>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</si>
  <si>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</si>
  <si>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</si>
  <si>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</si>
  <si>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</si>
  <si>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</si>
  <si>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</si>
  <si>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</si>
  <si>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</si>
  <si>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</si>
  <si>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</si>
  <si>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</si>
  <si>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</si>
  <si>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</si>
  <si>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</si>
  <si>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H2.4.c Share of rural residents in households using safely managed sanitation services (%) (disaggregation c)</t>
  </si>
  <si>
    <t>Region</t>
  </si>
  <si>
    <t>No or some difficulty</t>
  </si>
  <si>
    <t>At least a lot of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</si>
  <si>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</si>
  <si>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</si>
  <si>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</si>
  <si>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</si>
  <si>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</si>
  <si>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</si>
  <si>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</si>
  <si>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</si>
  <si>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</si>
  <si>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</si>
  <si>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</si>
  <si>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</si>
  <si>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</si>
  <si>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</si>
  <si>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</si>
  <si>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</si>
  <si>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H2.5.c Share of urban residents in households using safely managed sanitation services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</si>
  <si>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</si>
  <si>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</si>
  <si>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</si>
  <si>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</si>
  <si>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</si>
  <si>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</si>
  <si>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</si>
  <si>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</si>
  <si>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</si>
  <si>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</si>
  <si>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</si>
  <si>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</si>
  <si>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</si>
  <si>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</si>
  <si>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</si>
  <si>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</si>
  <si>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</si>
  <si>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</si>
  <si>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</si>
  <si>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</si>
  <si>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S1.1.a Share of all adults in households with electricity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</si>
  <si>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</si>
  <si>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</si>
  <si>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</si>
  <si>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</si>
  <si>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</si>
  <si>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</si>
  <si>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</si>
  <si>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</si>
  <si>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</si>
  <si>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</si>
  <si>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</si>
  <si>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</si>
  <si>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</si>
  <si>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</si>
  <si>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</si>
  <si>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</si>
  <si>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</si>
  <si>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</si>
  <si>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</si>
  <si>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</si>
  <si>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S1.2.a Share of females in households with electricity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</si>
  <si>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</si>
  <si>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</si>
  <si>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</si>
  <si>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</si>
  <si>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</si>
  <si>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</si>
  <si>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</si>
  <si>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</si>
  <si>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</si>
  <si>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</si>
  <si>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</si>
  <si>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</si>
  <si>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</si>
  <si>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</si>
  <si>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</si>
  <si>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</si>
  <si>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</si>
  <si>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</si>
  <si>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</si>
  <si>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</si>
  <si>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S1.3.a Share of males in households with electricity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</si>
  <si>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</si>
  <si>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</si>
  <si>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</si>
  <si>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</si>
  <si>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</si>
  <si>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</si>
  <si>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</si>
  <si>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</si>
  <si>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</si>
  <si>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</si>
  <si>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</si>
  <si>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</si>
  <si>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</si>
  <si>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</si>
  <si>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</si>
  <si>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</si>
  <si>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</si>
  <si>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</si>
  <si>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</si>
  <si>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</si>
  <si>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S1.4.a Share of rural residents in households with electricity (%) (disaggregation a)</t>
  </si>
  <si>
    <t>Region</t>
  </si>
  <si>
    <t>No difficulty</t>
  </si>
  <si>
    <t>Any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</si>
  <si>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</si>
  <si>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</si>
  <si>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</si>
  <si>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</si>
  <si>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</si>
  <si>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</si>
  <si>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</si>
  <si>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</si>
  <si>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</si>
  <si>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</si>
  <si>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</si>
  <si>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</si>
  <si>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</si>
  <si>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</si>
  <si>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</si>
  <si>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</si>
  <si>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S1.5.a Share of urban residents in households with electricity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</si>
  <si>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</si>
  <si>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</si>
  <si>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</si>
  <si>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</si>
  <si>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</si>
  <si>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</si>
  <si>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</si>
  <si>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</si>
  <si>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</si>
  <si>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</si>
  <si>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</si>
  <si>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</si>
  <si>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</si>
  <si>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</si>
  <si>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</si>
  <si>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</si>
  <si>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</si>
  <si>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</si>
  <si>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</si>
  <si>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</si>
  <si>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S1.1.b Share of all adults in households with electricity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</si>
  <si>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</si>
  <si>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</si>
  <si>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</si>
  <si>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</si>
  <si>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</si>
  <si>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</si>
  <si>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</si>
  <si>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</si>
  <si>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</si>
  <si>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</si>
  <si>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</si>
  <si>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</si>
  <si>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</si>
  <si>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</si>
  <si>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</si>
  <si>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</si>
  <si>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</si>
  <si>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</si>
  <si>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</si>
  <si>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</si>
  <si>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S1.2.b Share of females in households with electricity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</si>
  <si>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</si>
  <si>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</si>
  <si>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</si>
  <si>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</si>
  <si>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</si>
  <si>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</si>
  <si>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</si>
  <si>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</si>
  <si>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</si>
  <si>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</si>
  <si>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</si>
  <si>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</si>
  <si>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</si>
  <si>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</si>
  <si>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</si>
  <si>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</si>
  <si>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</si>
  <si>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</si>
  <si>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</si>
  <si>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</si>
  <si>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S1.3.b Share of males in households with electricity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</si>
  <si>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</si>
  <si>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</si>
  <si>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</si>
  <si>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</si>
  <si>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</si>
  <si>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</si>
  <si>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</si>
  <si>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</si>
  <si>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</si>
  <si>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</si>
  <si>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</si>
  <si>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</si>
  <si>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</si>
  <si>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</si>
  <si>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</si>
  <si>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</si>
  <si>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</si>
  <si>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</si>
  <si>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</si>
  <si>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</si>
  <si>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S1.4.b Share of rural residents in households with electricity (%) (disaggregation b)</t>
  </si>
  <si>
    <t>Region</t>
  </si>
  <si>
    <t>No difficulty</t>
  </si>
  <si>
    <t>Some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</si>
  <si>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</si>
  <si>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</si>
  <si>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</si>
  <si>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</si>
  <si>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</si>
  <si>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</si>
  <si>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</si>
  <si>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</si>
  <si>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</si>
  <si>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</si>
  <si>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</si>
  <si>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</si>
  <si>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</si>
  <si>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</si>
  <si>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</si>
  <si>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</si>
  <si>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S1.5.b Share of urban residents in households with electricity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</si>
  <si>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</si>
  <si>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</si>
  <si>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</si>
  <si>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</si>
  <si>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</si>
  <si>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</si>
  <si>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</si>
  <si>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</si>
  <si>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</si>
  <si>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</si>
  <si>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</si>
  <si>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</si>
  <si>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</si>
  <si>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</si>
  <si>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</si>
  <si>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</si>
  <si>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</si>
  <si>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</si>
  <si>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</si>
  <si>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</si>
  <si>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</si>
  <si>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</si>
  <si>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</si>
  <si>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</si>
  <si>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</si>
  <si>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</si>
  <si>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</si>
  <si>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</si>
  <si>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</si>
  <si>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</si>
  <si>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</si>
  <si>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</si>
  <si>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</si>
  <si>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</si>
  <si>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</si>
  <si>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Table S1.1.c Share of all adults in households with electricity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</si>
  <si>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</si>
  <si>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</si>
  <si>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</si>
  <si>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</si>
  <si>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</si>
  <si>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</si>
  <si>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</si>
  <si>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</si>
  <si>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</si>
  <si>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</si>
  <si>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</si>
  <si>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</si>
  <si>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</si>
  <si>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</si>
  <si>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</si>
  <si>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</si>
  <si>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</si>
  <si>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</si>
  <si>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</si>
  <si>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</si>
  <si>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S1.2.c Share of females in households with electricity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</si>
  <si>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</si>
  <si>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</si>
  <si>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</si>
  <si>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</si>
  <si>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</si>
  <si>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</si>
  <si>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</si>
  <si>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</si>
  <si>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</si>
  <si>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</si>
  <si>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</si>
  <si>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</si>
  <si>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</si>
  <si>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</si>
  <si>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</si>
  <si>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</si>
  <si>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</si>
  <si>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</si>
  <si>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</si>
  <si>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</si>
  <si>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S1.3.c Share of males in households with electricity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</si>
  <si>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</si>
  <si>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</si>
  <si>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</si>
  <si>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</si>
  <si>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</si>
  <si>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</si>
  <si>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</si>
  <si>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</si>
  <si>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</si>
  <si>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</si>
  <si>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</si>
  <si>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</si>
  <si>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</si>
  <si>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</si>
  <si>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</si>
  <si>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</si>
  <si>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</si>
  <si>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</si>
  <si>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</si>
  <si>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</si>
  <si>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S1.4.c Share of rural residents in households with electricity (%) (disaggregation c)</t>
  </si>
  <si>
    <t>Region</t>
  </si>
  <si>
    <t>No or some difficulty</t>
  </si>
  <si>
    <t>At least a lot of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</si>
  <si>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</si>
  <si>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</si>
  <si>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</si>
  <si>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</si>
  <si>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</si>
  <si>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</si>
  <si>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</si>
  <si>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</si>
  <si>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</si>
  <si>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</si>
  <si>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</si>
  <si>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</si>
  <si>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</si>
  <si>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</si>
  <si>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</si>
  <si>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</si>
  <si>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S1.5.c Share of urban residents in households with electricity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</si>
  <si>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</si>
  <si>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</si>
  <si>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</si>
  <si>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</si>
  <si>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</si>
  <si>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</si>
  <si>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</si>
  <si>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</si>
  <si>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</si>
  <si>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</si>
  <si>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</si>
  <si>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</si>
  <si>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</si>
  <si>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</si>
  <si>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</si>
  <si>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</si>
  <si>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</si>
  <si>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</si>
  <si>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</si>
  <si>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</si>
  <si>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S2.1.a Share of all adults in households with clean cooking fuel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</si>
  <si>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</si>
  <si>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</si>
  <si>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</si>
  <si>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</si>
  <si>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</si>
  <si>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</si>
  <si>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</si>
  <si>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</si>
  <si>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</si>
  <si>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</si>
  <si>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</si>
  <si>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</si>
  <si>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</si>
  <si>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</si>
  <si>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</si>
  <si>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</si>
  <si>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</si>
  <si>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</si>
  <si>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</si>
  <si>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</si>
  <si>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S2.2.a Share of females in households with clean cooking fuel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</si>
  <si>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</si>
  <si>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</si>
  <si>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</si>
  <si>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</si>
  <si>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</si>
  <si>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</si>
  <si>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</si>
  <si>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</si>
  <si>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</si>
  <si>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</si>
  <si>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</si>
  <si>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</si>
  <si>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</si>
  <si>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</si>
  <si>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</si>
  <si>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</si>
  <si>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</si>
  <si>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</si>
  <si>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</si>
  <si>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</si>
  <si>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S2.3.a Share of males in households with clean cooking fuel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</si>
  <si>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</si>
  <si>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</si>
  <si>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</si>
  <si>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</si>
  <si>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</si>
  <si>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</si>
  <si>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</si>
  <si>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</si>
  <si>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</si>
  <si>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</si>
  <si>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</si>
  <si>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</si>
  <si>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</si>
  <si>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</si>
  <si>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</si>
  <si>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</si>
  <si>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</si>
  <si>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</si>
  <si>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</si>
  <si>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</si>
  <si>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S2.4.a Share of rural residents in households with clean cooking fuel (%) (disaggregation a)</t>
  </si>
  <si>
    <t>Region</t>
  </si>
  <si>
    <t>No difficulty</t>
  </si>
  <si>
    <t>Any difficulty</t>
  </si>
  <si>
    <t>Difference</t>
  </si>
  <si>
    <t>Statistical Significance of the Difference</t>
  </si>
  <si>
    <t>Acholi</t>
  </si>
  <si>
    <t>Ankole</t>
  </si>
  <si>
    <t>Bugisu</t>
  </si>
  <si>
    <t>Bukedi</t>
  </si>
  <si>
    <t>Bunyoro</t>
  </si>
  <si>
    <t>Busoga</t>
  </si>
  <si>
    <t>Kigezi</t>
  </si>
  <si>
    <t>Lango</t>
  </si>
  <si>
    <t>North Buganda</t>
  </si>
  <si>
    <t>South Buganda</t>
  </si>
  <si>
    <t>Teso</t>
  </si>
  <si>
    <t>Tooro</t>
  </si>
  <si>
    <t>West Nile</t>
  </si>
  <si>
    <t>Table S2.5.a Share of urban residents in households with clean cooking fuel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</si>
  <si>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</si>
  <si>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</si>
  <si>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</si>
  <si>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</si>
  <si>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</si>
  <si>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</si>
  <si>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</si>
  <si>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</si>
  <si>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</si>
  <si>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</si>
  <si>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</si>
  <si>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</si>
  <si>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</si>
  <si>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</si>
  <si>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</si>
  <si>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</si>
  <si>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</si>
  <si>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</si>
  <si>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</si>
  <si>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</si>
  <si>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S2.1.b Share of all adults in households with clean cooking fuel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</si>
  <si>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</si>
  <si>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</si>
  <si>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</si>
  <si>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</si>
  <si>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</si>
  <si>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</si>
  <si>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</si>
  <si>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</si>
  <si>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</si>
  <si>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</si>
  <si>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</si>
  <si>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</si>
  <si>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</si>
  <si>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</si>
  <si>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</si>
  <si>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</si>
  <si>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</si>
  <si>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</si>
  <si>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</si>
  <si>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</si>
  <si>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S2.2.b Share of females in households with clean cooking fuel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</si>
  <si>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</si>
  <si>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</si>
  <si>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</si>
  <si>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</si>
  <si>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</si>
  <si>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</si>
  <si>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</si>
  <si>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</si>
  <si>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</si>
  <si>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</si>
  <si>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</si>
  <si>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</si>
  <si>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</si>
  <si>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</si>
  <si>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</si>
  <si>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</si>
  <si>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</si>
  <si>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</si>
  <si>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</si>
  <si>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</si>
  <si>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S2.3.b Share of males in households with clean cooking fuel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</si>
  <si>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</si>
  <si>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</si>
  <si>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</si>
  <si>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</si>
  <si>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</si>
  <si>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</si>
  <si>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</si>
  <si>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</si>
  <si>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</si>
  <si>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</si>
  <si>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</si>
  <si>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</si>
  <si>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</si>
  <si>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</si>
  <si>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</si>
  <si>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</si>
  <si>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</si>
  <si>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</si>
  <si>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</si>
  <si>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</si>
  <si>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S2.4.b Share of rural residents in households with clean cooking fuel (%) (disaggregation b)</t>
  </si>
  <si>
    <t>Region</t>
  </si>
  <si>
    <t>No difficulty</t>
  </si>
  <si>
    <t>Some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</si>
  <si>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</si>
  <si>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</si>
  <si>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</si>
  <si>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</si>
  <si>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</si>
  <si>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</si>
  <si>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</si>
  <si>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</si>
  <si>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</si>
  <si>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</si>
  <si>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</si>
  <si>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</si>
  <si>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</si>
  <si>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</si>
  <si>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</si>
  <si>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</si>
  <si>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S2.5.b Share of urban residents in households with clean cooking fuel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</si>
  <si>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</si>
  <si>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</si>
  <si>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</si>
  <si>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</si>
  <si>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</si>
  <si>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</si>
  <si>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</si>
  <si>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</si>
  <si>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</si>
  <si>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</si>
  <si>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</si>
  <si>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</si>
  <si>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</si>
  <si>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</si>
  <si>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</si>
  <si>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</si>
  <si>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</si>
  <si>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</si>
  <si>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</si>
  <si>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</si>
  <si>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</si>
  <si>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</si>
  <si>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</si>
  <si>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</si>
  <si>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</si>
  <si>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</si>
  <si>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</si>
  <si>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</si>
  <si>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</si>
  <si>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</si>
  <si>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</si>
  <si>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</si>
  <si>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</si>
  <si>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</si>
  <si>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</si>
  <si>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Table S2.1.c Share of all adults in households with clean cooking fuel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</si>
  <si>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</si>
  <si>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</si>
  <si>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</si>
  <si>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</si>
  <si>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</si>
  <si>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</si>
  <si>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</si>
  <si>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</si>
  <si>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</si>
  <si>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</si>
  <si>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</si>
  <si>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</si>
  <si>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</si>
  <si>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</si>
  <si>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</si>
  <si>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</si>
  <si>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</si>
  <si>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</si>
  <si>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</si>
  <si>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</si>
  <si>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S2.2.c Share of females in households with clean cooking fuel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</si>
  <si>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</si>
  <si>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</si>
  <si>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</si>
  <si>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</si>
  <si>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</si>
  <si>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</si>
  <si>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</si>
  <si>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</si>
  <si>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</si>
  <si>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</si>
  <si>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</si>
  <si>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</si>
  <si>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</si>
  <si>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</si>
  <si>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</si>
  <si>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</si>
  <si>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</si>
  <si>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</si>
  <si>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</si>
  <si>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</si>
  <si>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S2.3.c Share of males in households with clean cooking fuel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</si>
  <si>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</si>
  <si>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</si>
  <si>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</si>
  <si>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</si>
  <si>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</si>
  <si>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</si>
  <si>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</si>
  <si>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</si>
  <si>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</si>
  <si>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</si>
  <si>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</si>
  <si>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</si>
  <si>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</si>
  <si>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</si>
  <si>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</si>
  <si>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</si>
  <si>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</si>
  <si>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</si>
  <si>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</si>
  <si>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</si>
  <si>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S2.4.c Share of rural residents in households with clean cooking fuel (%) (disaggregation c)</t>
  </si>
  <si>
    <t>Region</t>
  </si>
  <si>
    <t>No or some difficulty</t>
  </si>
  <si>
    <t>At least a lot of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</si>
  <si>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</si>
  <si>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</si>
  <si>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</si>
  <si>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</si>
  <si>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</si>
  <si>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</si>
  <si>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</si>
  <si>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</si>
  <si>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</si>
  <si>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</si>
  <si>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</si>
  <si>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</si>
  <si>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</si>
  <si>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</si>
  <si>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</si>
  <si>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</si>
  <si>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S2.5.c Share of urban residents in households with clean cooking fuel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</si>
  <si>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</si>
  <si>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</si>
  <si>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</si>
  <si>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</si>
  <si>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</si>
  <si>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</si>
  <si>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</si>
  <si>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</si>
  <si>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</si>
  <si>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</si>
  <si>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</si>
  <si>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</si>
  <si>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</si>
  <si>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</si>
  <si>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</si>
  <si>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</si>
  <si>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</si>
  <si>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</si>
  <si>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</si>
  <si>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</si>
  <si>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S3.1.a Share of all adults in households with adequate housing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</si>
  <si>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</si>
  <si>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</si>
  <si>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</si>
  <si>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</si>
  <si>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</si>
  <si>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</si>
  <si>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</si>
  <si>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</si>
  <si>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</si>
  <si>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</si>
  <si>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</si>
  <si>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</si>
  <si>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</si>
  <si>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</si>
  <si>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</si>
  <si>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</si>
  <si>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</si>
  <si>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</si>
  <si>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</si>
  <si>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</si>
  <si>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S3.2.a Share of females in households with adequate housing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</si>
  <si>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</si>
  <si>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</si>
  <si>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</si>
  <si>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</si>
  <si>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</si>
  <si>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</si>
  <si>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</si>
  <si>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</si>
  <si>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</si>
  <si>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</si>
  <si>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</si>
  <si>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</si>
  <si>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</si>
  <si>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</si>
  <si>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</si>
  <si>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</si>
  <si>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</si>
  <si>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</si>
  <si>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</si>
  <si>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</si>
  <si>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S3.3.a Share of males in households with adequate housing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</si>
  <si>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</si>
  <si>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</si>
  <si>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</si>
  <si>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</si>
  <si>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</si>
  <si>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</si>
  <si>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</si>
  <si>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</si>
  <si>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</si>
  <si>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</si>
  <si>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</si>
  <si>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</si>
  <si>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</si>
  <si>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</si>
  <si>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</si>
  <si>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</si>
  <si>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</si>
  <si>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</si>
  <si>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</si>
  <si>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</si>
  <si>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S3.4.a Share of rural residents in households with adequate housing (%) (disaggregation a)</t>
  </si>
  <si>
    <t>Region</t>
  </si>
  <si>
    <t>No difficulty</t>
  </si>
  <si>
    <t>Any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</si>
  <si>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</si>
  <si>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</si>
  <si>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</si>
  <si>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</si>
  <si>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</si>
  <si>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</si>
  <si>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</si>
  <si>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</si>
  <si>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</si>
  <si>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</si>
  <si>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</si>
  <si>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</si>
  <si>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</si>
  <si>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</si>
  <si>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</si>
  <si>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</si>
  <si>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S3.5.a Share of urban residents in households with adequate housing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</si>
  <si>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</si>
  <si>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</si>
  <si>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</si>
  <si>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</si>
  <si>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</si>
  <si>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</si>
  <si>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</si>
  <si>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</si>
  <si>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</si>
  <si>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</si>
  <si>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</si>
  <si>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</si>
  <si>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</si>
  <si>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</si>
  <si>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</si>
  <si>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</si>
  <si>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</si>
  <si>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</si>
  <si>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</si>
  <si>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</si>
  <si>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S3.1.b Share of all adults in households with adequate housing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</si>
  <si>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</si>
  <si>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</si>
  <si>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</si>
  <si>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</si>
  <si>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</si>
  <si>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</si>
  <si>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</si>
  <si>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</si>
  <si>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</si>
  <si>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</si>
  <si>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</si>
  <si>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</si>
  <si>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</si>
  <si>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</si>
  <si>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</si>
  <si>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</si>
  <si>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</si>
  <si>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</si>
  <si>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</si>
  <si>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</si>
  <si>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S3.2.b Share of females in households with adequate housing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</si>
  <si>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</si>
  <si>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</si>
  <si>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</si>
  <si>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</si>
  <si>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</si>
  <si>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</si>
  <si>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</si>
  <si>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</si>
  <si>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</si>
  <si>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</si>
  <si>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</si>
  <si>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</si>
  <si>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</si>
  <si>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</si>
  <si>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</si>
  <si>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</si>
  <si>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</si>
  <si>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</si>
  <si>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</si>
  <si>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</si>
  <si>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S3.3.b Share of males in households with adequate housing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</si>
  <si>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</si>
  <si>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</si>
  <si>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</si>
  <si>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</si>
  <si>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</si>
  <si>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</si>
  <si>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</si>
  <si>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</si>
  <si>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</si>
  <si>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</si>
  <si>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</si>
  <si>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</si>
  <si>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</si>
  <si>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</si>
  <si>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</si>
  <si>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</si>
  <si>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</si>
  <si>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</si>
  <si>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</si>
  <si>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</si>
  <si>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S3.4.b Share of rural residents in households with adequate housing (%) (disaggregation b)</t>
  </si>
  <si>
    <t>Region</t>
  </si>
  <si>
    <t>No difficulty</t>
  </si>
  <si>
    <t>Some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</si>
  <si>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</si>
  <si>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</si>
  <si>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</si>
  <si>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</si>
  <si>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</si>
  <si>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</si>
  <si>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</si>
  <si>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</si>
  <si>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</si>
  <si>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</si>
  <si>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</si>
  <si>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</si>
  <si>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</si>
  <si>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</si>
  <si>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</si>
  <si>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</si>
  <si>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S3.5.b Share of urban residents in households with adequate housing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</si>
  <si>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</si>
  <si>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</si>
  <si>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</si>
  <si>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</si>
  <si>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</si>
  <si>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</si>
  <si>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</si>
  <si>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</si>
  <si>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</si>
  <si>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</si>
  <si>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</si>
  <si>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</si>
  <si>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</si>
  <si>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</si>
  <si>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</si>
  <si>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</si>
  <si>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</si>
  <si>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</si>
  <si>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</si>
  <si>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</si>
  <si>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</si>
  <si>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</si>
  <si>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</si>
  <si>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</si>
  <si>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</si>
  <si>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</si>
  <si>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</si>
  <si>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</si>
  <si>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</si>
  <si>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</si>
  <si>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</si>
  <si>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</si>
  <si>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</si>
  <si>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</si>
  <si>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</si>
  <si>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Table S3.1.c Share of all adults in households with adequate housing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</si>
  <si>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</si>
  <si>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</si>
  <si>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</si>
  <si>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</si>
  <si>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</si>
  <si>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</si>
  <si>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</si>
  <si>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</si>
  <si>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</si>
  <si>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</si>
  <si>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</si>
  <si>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</si>
  <si>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</si>
  <si>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</si>
  <si>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</si>
  <si>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</si>
  <si>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</si>
  <si>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</si>
  <si>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</si>
  <si>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</si>
  <si>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S3.2.c Share of females in households with adequate housing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</si>
  <si>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</si>
  <si>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</si>
  <si>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</si>
  <si>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</si>
  <si>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</si>
  <si>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</si>
  <si>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</si>
  <si>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</si>
  <si>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</si>
  <si>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</si>
  <si>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</si>
  <si>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</si>
  <si>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</si>
  <si>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</si>
  <si>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</si>
  <si>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</si>
  <si>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</si>
  <si>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</si>
  <si>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</si>
  <si>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</si>
  <si>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S3.3.c Share of males in households with adequate housing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</si>
  <si>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</si>
  <si>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</si>
  <si>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</si>
  <si>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</si>
  <si>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</si>
  <si>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</si>
  <si>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</si>
  <si>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</si>
  <si>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</si>
  <si>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</si>
  <si>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</si>
  <si>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</si>
  <si>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</si>
  <si>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</si>
  <si>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</si>
  <si>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</si>
  <si>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</si>
  <si>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</si>
  <si>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</si>
  <si>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</si>
  <si>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S3.4.c Share of rural residents in households with adequate housing (%) (disaggregation c)</t>
  </si>
  <si>
    <t>Region</t>
  </si>
  <si>
    <t>No or some difficulty</t>
  </si>
  <si>
    <t>At least a lot of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</si>
  <si>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</si>
  <si>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</si>
  <si>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</si>
  <si>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</si>
  <si>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</si>
  <si>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</si>
  <si>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</si>
  <si>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</si>
  <si>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</si>
  <si>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</si>
  <si>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</si>
  <si>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</si>
  <si>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</si>
  <si>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</si>
  <si>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</si>
  <si>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</si>
  <si>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S3.5.c Share of urban residents in households with adequate housing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</si>
  <si>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</si>
  <si>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</si>
  <si>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</si>
  <si>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</si>
  <si>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</si>
  <si>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</si>
  <si>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</si>
  <si>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</si>
  <si>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</si>
  <si>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</si>
  <si>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</si>
  <si>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</si>
  <si>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</si>
  <si>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</si>
  <si>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</si>
  <si>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</si>
  <si>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</si>
  <si>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</si>
  <si>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</si>
  <si>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</si>
  <si>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S4.1.a Share of assets for all adults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</si>
  <si>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</si>
  <si>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</si>
  <si>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</si>
  <si>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</si>
  <si>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</si>
  <si>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</si>
  <si>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</si>
  <si>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</si>
  <si>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</si>
  <si>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</si>
  <si>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</si>
  <si>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</si>
  <si>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</si>
  <si>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</si>
  <si>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</si>
  <si>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</si>
  <si>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</si>
  <si>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</si>
  <si>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</si>
  <si>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</si>
  <si>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S4.2.a Share of assets for females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</si>
  <si>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</si>
  <si>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</si>
  <si>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</si>
  <si>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</si>
  <si>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</si>
  <si>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</si>
  <si>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</si>
  <si>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</si>
  <si>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</si>
  <si>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</si>
  <si>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</si>
  <si>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</si>
  <si>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</si>
  <si>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</si>
  <si>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</si>
  <si>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</si>
  <si>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</si>
  <si>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</si>
  <si>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</si>
  <si>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</si>
  <si>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S4.3.a Share of assets for males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</si>
  <si>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</si>
  <si>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</si>
  <si>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</si>
  <si>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</si>
  <si>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</si>
  <si>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</si>
  <si>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</si>
  <si>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</si>
  <si>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</si>
  <si>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</si>
  <si>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</si>
  <si>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</si>
  <si>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</si>
  <si>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</si>
  <si>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</si>
  <si>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</si>
  <si>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</si>
  <si>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</si>
  <si>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</si>
  <si>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</si>
  <si>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S4.4.a Share of assets for rural residents (%) (disaggregation a)</t>
  </si>
  <si>
    <t>Region</t>
  </si>
  <si>
    <t>No difficulty</t>
  </si>
  <si>
    <t>Any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</si>
  <si>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</si>
  <si>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</si>
  <si>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</si>
  <si>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</si>
  <si>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</si>
  <si>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</si>
  <si>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</si>
  <si>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</si>
  <si>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</si>
  <si>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</si>
  <si>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</si>
  <si>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</si>
  <si>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</si>
  <si>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</si>
  <si>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</si>
  <si>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</si>
  <si>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S4.5.a Share of assets for urban residents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</si>
  <si>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</si>
  <si>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</si>
  <si>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</si>
  <si>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</si>
  <si>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</si>
  <si>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</si>
  <si>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</si>
  <si>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</si>
  <si>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</si>
  <si>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</si>
  <si>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</si>
  <si>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</si>
  <si>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</si>
  <si>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</si>
  <si>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</si>
  <si>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</si>
  <si>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</si>
  <si>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</si>
  <si>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</si>
  <si>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</si>
  <si>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S4.1.b Share of assets for all adults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</si>
  <si>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</si>
  <si>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</si>
  <si>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</si>
  <si>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</si>
  <si>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</si>
  <si>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</si>
  <si>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</si>
  <si>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</si>
  <si>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</si>
  <si>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</si>
  <si>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</si>
  <si>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</si>
  <si>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</si>
  <si>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</si>
  <si>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</si>
  <si>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</si>
  <si>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</si>
  <si>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</si>
  <si>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</si>
  <si>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</si>
  <si>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S4.2.b Share of assets for females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</si>
  <si>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</si>
  <si>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</si>
  <si>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</si>
  <si>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</si>
  <si>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</si>
  <si>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</si>
  <si>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</si>
  <si>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</si>
  <si>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</si>
  <si>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</si>
  <si>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</si>
  <si>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</si>
  <si>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</si>
  <si>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</si>
  <si>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</si>
  <si>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</si>
  <si>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</si>
  <si>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</si>
  <si>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</si>
  <si>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</si>
  <si>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S4.3.b Share of assets for males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</si>
  <si>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</si>
  <si>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</si>
  <si>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</si>
  <si>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</si>
  <si>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</si>
  <si>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</si>
  <si>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</si>
  <si>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</si>
  <si>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</si>
  <si>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</si>
  <si>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</si>
  <si>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</si>
  <si>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</si>
  <si>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</si>
  <si>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</si>
  <si>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</si>
  <si>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</si>
  <si>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</si>
  <si>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</si>
  <si>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</si>
  <si>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S4.4.b Share of assets for rural residents (%) (disaggregation b)</t>
  </si>
  <si>
    <t>Region</t>
  </si>
  <si>
    <t>No difficulty</t>
  </si>
  <si>
    <t>Some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</si>
  <si>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</si>
  <si>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</si>
  <si>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</si>
  <si>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</si>
  <si>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</si>
  <si>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</si>
  <si>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</si>
  <si>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</si>
  <si>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</si>
  <si>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</si>
  <si>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</si>
  <si>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</si>
  <si>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</si>
  <si>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</si>
  <si>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</si>
  <si>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</si>
  <si>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S4.5.b Share of assets for urban residents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</si>
  <si>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</si>
  <si>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</si>
  <si>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</si>
  <si>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</si>
  <si>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</si>
  <si>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</si>
  <si>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</si>
  <si>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</si>
  <si>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</si>
  <si>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</si>
  <si>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</si>
  <si>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</si>
  <si>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</si>
  <si>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</si>
  <si>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</si>
  <si>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</si>
  <si>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</si>
  <si>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</si>
  <si>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</si>
  <si>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</si>
  <si>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</si>
  <si>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</si>
  <si>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</si>
  <si>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</si>
  <si>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</si>
  <si>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</si>
  <si>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</si>
  <si>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</si>
  <si>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</si>
  <si>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</si>
  <si>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</si>
  <si>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</si>
  <si>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</si>
  <si>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</si>
  <si>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</si>
  <si>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Table S4.1.c Share of assets for all adults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</si>
  <si>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</si>
  <si>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</si>
  <si>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</si>
  <si>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</si>
  <si>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</si>
  <si>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</si>
  <si>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</si>
  <si>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</si>
  <si>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</si>
  <si>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</si>
  <si>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</si>
  <si>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</si>
  <si>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</si>
  <si>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</si>
  <si>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</si>
  <si>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</si>
  <si>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</si>
  <si>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</si>
  <si>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</si>
  <si>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</si>
  <si>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S4.2.c Share of assets for females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</si>
  <si>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</si>
  <si>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</si>
  <si>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</si>
  <si>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</si>
  <si>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</si>
  <si>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</si>
  <si>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</si>
  <si>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</si>
  <si>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</si>
  <si>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</si>
  <si>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</si>
  <si>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</si>
  <si>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</si>
  <si>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</si>
  <si>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</si>
  <si>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</si>
  <si>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</si>
  <si>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</si>
  <si>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</si>
  <si>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</si>
  <si>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S4.3.c Share of assets for males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</si>
  <si>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</si>
  <si>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</si>
  <si>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</si>
  <si>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</si>
  <si>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</si>
  <si>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</si>
  <si>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</si>
  <si>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</si>
  <si>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</si>
  <si>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</si>
  <si>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</si>
  <si>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</si>
  <si>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</si>
  <si>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</si>
  <si>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</si>
  <si>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</si>
  <si>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</si>
  <si>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</si>
  <si>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</si>
  <si>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</si>
  <si>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S4.4.c Share of assets for rural residents (%) (disaggregation c)</t>
  </si>
  <si>
    <t>Region</t>
  </si>
  <si>
    <t>No or some difficulty</t>
  </si>
  <si>
    <t>At least a lot of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</si>
  <si>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</si>
  <si>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</si>
  <si>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</si>
  <si>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</si>
  <si>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</si>
  <si>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</si>
  <si>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</si>
  <si>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</si>
  <si>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</si>
  <si>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</si>
  <si>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</si>
  <si>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</si>
  <si>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</si>
  <si>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</si>
  <si>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</si>
  <si>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</si>
  <si>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S4.5.c Share of assets for urban residents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</si>
  <si>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</si>
  <si>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</si>
  <si>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</si>
  <si>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</si>
  <si>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</si>
  <si>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</si>
  <si>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</si>
  <si>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</si>
  <si>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</si>
  <si>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</si>
  <si>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</si>
  <si>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</si>
  <si>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</si>
  <si>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</si>
  <si>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</si>
  <si>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</si>
  <si>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</si>
  <si>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</si>
  <si>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</si>
  <si>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</si>
  <si>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S5.1.a Adults in households with cell phone for all adults (%)</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</si>
  <si>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</si>
  <si>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</si>
  <si>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</si>
  <si>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</si>
  <si>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</si>
  <si>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</si>
  <si>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</si>
  <si>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</si>
  <si>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</si>
  <si>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</si>
  <si>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</si>
  <si>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</si>
  <si>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</si>
  <si>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</si>
  <si>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</si>
  <si>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</si>
  <si>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</si>
  <si>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</si>
  <si>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</si>
  <si>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</si>
  <si>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S5.2.a Adults in households with cell phone for females (%)</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</si>
  <si>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</si>
  <si>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</si>
  <si>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</si>
  <si>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</si>
  <si>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</si>
  <si>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</si>
  <si>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</si>
  <si>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</si>
  <si>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</si>
  <si>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</si>
  <si>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</si>
  <si>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</si>
  <si>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</si>
  <si>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</si>
  <si>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</si>
  <si>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</si>
  <si>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</si>
  <si>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</si>
  <si>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</si>
  <si>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</si>
  <si>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S5.3.a Adults in households with cell phone for males (%)</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</si>
  <si>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</si>
  <si>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</si>
  <si>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</si>
  <si>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</si>
  <si>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</si>
  <si>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</si>
  <si>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</si>
  <si>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</si>
  <si>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</si>
  <si>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</si>
  <si>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</si>
  <si>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</si>
  <si>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</si>
  <si>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</si>
  <si>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</si>
  <si>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</si>
  <si>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</si>
  <si>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</si>
  <si>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</si>
  <si>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</si>
  <si>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S5.4.a Adults in households with cell phone for rural residents (%)</t>
  </si>
  <si>
    <t>Region</t>
  </si>
  <si>
    <t>No difficulty</t>
  </si>
  <si>
    <t>Any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</si>
  <si>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</si>
  <si>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</si>
  <si>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</si>
  <si>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</si>
  <si>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</si>
  <si>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</si>
  <si>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</si>
  <si>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</si>
  <si>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</si>
  <si>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</si>
  <si>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</si>
  <si>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</si>
  <si>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</si>
  <si>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</si>
  <si>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</si>
  <si>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</si>
  <si>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S5.5.a Adults in households with cell phone for urban residents (%)</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</si>
  <si>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</si>
  <si>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</si>
  <si>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</si>
  <si>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</si>
  <si>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</si>
  <si>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</si>
  <si>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</si>
  <si>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</si>
  <si>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</si>
  <si>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</si>
  <si>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</si>
  <si>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</si>
  <si>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</si>
  <si>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</si>
  <si>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</si>
  <si>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</si>
  <si>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</si>
  <si>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</si>
  <si>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</si>
  <si>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</si>
  <si>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S5.1.b Adults in households with cell phone for all adults (%)</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</si>
  <si>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</si>
  <si>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</si>
  <si>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</si>
  <si>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</si>
  <si>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</si>
  <si>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</si>
  <si>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</si>
  <si>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</si>
  <si>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</si>
  <si>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</si>
  <si>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</si>
  <si>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</si>
  <si>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</si>
  <si>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</si>
  <si>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</si>
  <si>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</si>
  <si>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</si>
  <si>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</si>
  <si>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</si>
  <si>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</si>
  <si>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S5.2.b Adults in households with cell phone for females (%)</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</si>
  <si>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</si>
  <si>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</si>
  <si>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</si>
  <si>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</si>
  <si>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</si>
  <si>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</si>
  <si>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</si>
  <si>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</si>
  <si>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</si>
  <si>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</si>
  <si>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</si>
  <si>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</si>
  <si>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</si>
  <si>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</si>
  <si>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</si>
  <si>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</si>
  <si>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</si>
  <si>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</si>
  <si>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</si>
  <si>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</si>
  <si>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S5.3.b Adults in households with cell phone for males (%)</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</si>
  <si>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</si>
  <si>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</si>
  <si>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</si>
  <si>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</si>
  <si>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</si>
  <si>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</si>
  <si>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</si>
  <si>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</si>
  <si>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</si>
  <si>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</si>
  <si>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</si>
  <si>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</si>
  <si>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</si>
  <si>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</si>
  <si>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</si>
  <si>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</si>
  <si>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</si>
  <si>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</si>
  <si>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</si>
  <si>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</si>
  <si>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S5.4.b Adults in households with cell phone for rural residents (%)</t>
  </si>
  <si>
    <t>Region</t>
  </si>
  <si>
    <t>No difficulty</t>
  </si>
  <si>
    <t>Some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</si>
  <si>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</si>
  <si>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</si>
  <si>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</si>
  <si>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</si>
  <si>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</si>
  <si>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</si>
  <si>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</si>
  <si>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</si>
  <si>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</si>
  <si>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</si>
  <si>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</si>
  <si>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</si>
  <si>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</si>
  <si>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</si>
  <si>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</si>
  <si>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</si>
  <si>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S5.5.b Adults in households with cell phone for urban residents (%)</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</si>
  <si>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</si>
  <si>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</si>
  <si>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</si>
  <si>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</si>
  <si>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</si>
  <si>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</si>
  <si>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</si>
  <si>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</si>
  <si>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</si>
  <si>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</si>
  <si>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</si>
  <si>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</si>
  <si>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</si>
  <si>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</si>
  <si>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</si>
  <si>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</si>
  <si>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</si>
  <si>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</si>
  <si>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</si>
  <si>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</si>
  <si>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</si>
  <si>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</si>
  <si>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</si>
  <si>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</si>
  <si>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</si>
  <si>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</si>
  <si>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</si>
  <si>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</si>
  <si>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</si>
  <si>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</si>
  <si>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</si>
  <si>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</si>
  <si>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</si>
  <si>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</si>
  <si>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</si>
  <si>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Table S5.1.c Adults in households with cell phone for all adults (%)</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</si>
  <si>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</si>
  <si>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</si>
  <si>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</si>
  <si>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</si>
  <si>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</si>
  <si>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</si>
  <si>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</si>
  <si>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</si>
  <si>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</si>
  <si>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</si>
  <si>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</si>
  <si>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</si>
  <si>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</si>
  <si>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</si>
  <si>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</si>
  <si>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</si>
  <si>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</si>
  <si>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</si>
  <si>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</si>
  <si>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</si>
  <si>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S5.2.c Adults in households with cell phone for females (%)</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</si>
  <si>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</si>
  <si>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</si>
  <si>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</si>
  <si>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</si>
  <si>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</si>
  <si>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</si>
  <si>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</si>
  <si>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</si>
  <si>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</si>
  <si>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</si>
  <si>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</si>
  <si>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</si>
  <si>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</si>
  <si>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</si>
  <si>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</si>
  <si>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</si>
  <si>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</si>
  <si>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</si>
  <si>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</si>
  <si>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</si>
  <si>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S5.3.c Adults in households with cell phone for males (%)</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</si>
  <si>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</si>
  <si>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</si>
  <si>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</si>
  <si>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</si>
  <si>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</si>
  <si>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</si>
  <si>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</si>
  <si>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</si>
  <si>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</si>
  <si>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</si>
  <si>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</si>
  <si>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</si>
  <si>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</si>
  <si>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</si>
  <si>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</si>
  <si>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</si>
  <si>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</si>
  <si>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</si>
  <si>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</si>
  <si>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</si>
  <si>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S5.4.c Adults in households with cell phone for rural residents (%)</t>
  </si>
  <si>
    <t>Region</t>
  </si>
  <si>
    <t>No or some difficulty</t>
  </si>
  <si>
    <t>At least a lot of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</si>
  <si>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</si>
  <si>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</si>
  <si>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</si>
  <si>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</si>
  <si>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</si>
  <si>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</si>
  <si>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</si>
  <si>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</si>
  <si>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</si>
  <si>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</si>
  <si>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</si>
  <si>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</si>
  <si>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</si>
  <si>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</si>
  <si>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</si>
  <si>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</si>
  <si>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S5.5.c Adults in households with cell phone for urban residents (%)</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</si>
  <si>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</si>
  <si>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</si>
  <si>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</si>
  <si>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</si>
  <si>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</si>
  <si>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</si>
  <si>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</si>
  <si>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</si>
  <si>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</si>
  <si>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</si>
  <si>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</si>
  <si>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</si>
  <si>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</si>
  <si>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</si>
  <si>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</si>
  <si>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</si>
  <si>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</si>
  <si>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</si>
  <si>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</si>
  <si>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</si>
  <si>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M1.1.a Multidimensional poverty headcount for all adults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</si>
  <si>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</si>
  <si>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</si>
  <si>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</si>
  <si>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</si>
  <si>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</si>
  <si>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</si>
  <si>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</si>
  <si>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</si>
  <si>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</si>
  <si>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</si>
  <si>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</si>
  <si>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</si>
  <si>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</si>
  <si>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</si>
  <si>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</si>
  <si>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</si>
  <si>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</si>
  <si>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</si>
  <si>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</si>
  <si>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</si>
  <si>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M1.2.a Multidimensional poverty headcount for females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</si>
  <si>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</si>
  <si>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</si>
  <si>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</si>
  <si>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</si>
  <si>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</si>
  <si>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</si>
  <si>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</si>
  <si>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</si>
  <si>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</si>
  <si>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</si>
  <si>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</si>
  <si>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</si>
  <si>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</si>
  <si>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</si>
  <si>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</si>
  <si>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</si>
  <si>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</si>
  <si>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</si>
  <si>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</si>
  <si>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</si>
  <si>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M1.3.a Multidimensional poverty headcount for males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</si>
  <si>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</si>
  <si>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</si>
  <si>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</si>
  <si>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</si>
  <si>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</si>
  <si>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</si>
  <si>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</si>
  <si>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</si>
  <si>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</si>
  <si>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</si>
  <si>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</si>
  <si>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</si>
  <si>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</si>
  <si>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</si>
  <si>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</si>
  <si>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</si>
  <si>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</si>
  <si>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</si>
  <si>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</si>
  <si>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</si>
  <si>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M1.4.a Multidimensional poverty headcount for rural residents (%) (disaggregation a)</t>
  </si>
  <si>
    <t>Region</t>
  </si>
  <si>
    <t>No difficulty</t>
  </si>
  <si>
    <t>Any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</si>
  <si>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</si>
  <si>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</si>
  <si>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</si>
  <si>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</si>
  <si>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</si>
  <si>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</si>
  <si>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</si>
  <si>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</si>
  <si>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</si>
  <si>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</si>
  <si>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</si>
  <si>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</si>
  <si>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</si>
  <si>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</si>
  <si>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</si>
  <si>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</si>
  <si>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M1.5.a Multidimensional poverty headcount for urban residents (%) (disaggregation a)</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</si>
  <si>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</si>
  <si>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</si>
  <si>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</si>
  <si>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</si>
  <si>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</si>
  <si>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</si>
  <si>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</si>
  <si>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</si>
  <si>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</si>
  <si>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</si>
  <si>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</si>
  <si>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</si>
  <si>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</si>
  <si>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</si>
  <si>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</si>
  <si>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</si>
  <si>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</si>
  <si>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</si>
  <si>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</si>
  <si>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</si>
  <si>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M1.1.b Multidimensional poverty headcount for all adults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</si>
  <si>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</si>
  <si>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</si>
  <si>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</si>
  <si>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</si>
  <si>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</si>
  <si>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</si>
  <si>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</si>
  <si>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</si>
  <si>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</si>
  <si>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</si>
  <si>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</si>
  <si>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</si>
  <si>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</si>
  <si>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</si>
  <si>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</si>
  <si>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</si>
  <si>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</si>
  <si>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</si>
  <si>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</si>
  <si>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</si>
  <si>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M1.2.b Multidimensional poverty headcount for females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</si>
  <si>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</si>
  <si>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</si>
  <si>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</si>
  <si>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</si>
  <si>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</si>
  <si>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</si>
  <si>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</si>
  <si>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</si>
  <si>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</si>
  <si>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</si>
  <si>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</si>
  <si>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</si>
  <si>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</si>
  <si>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</si>
  <si>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</si>
  <si>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</si>
  <si>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</si>
  <si>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</si>
  <si>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</si>
  <si>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</si>
  <si>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M1.3.b Multidimensional poverty headcount for males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</si>
  <si>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</si>
  <si>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</si>
  <si>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</si>
  <si>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</si>
  <si>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</si>
  <si>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</si>
  <si>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</si>
  <si>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</si>
  <si>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</si>
  <si>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</si>
  <si>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</si>
  <si>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</si>
  <si>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</si>
  <si>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</si>
  <si>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</si>
  <si>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</si>
  <si>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</si>
  <si>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</si>
  <si>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</si>
  <si>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</si>
  <si>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M1.4.b Multidimensional poverty headcount for rural residents (%) (disaggregation b)</t>
  </si>
  <si>
    <t>Region</t>
  </si>
  <si>
    <t>No difficulty</t>
  </si>
  <si>
    <t>Some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</si>
  <si>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</si>
  <si>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</si>
  <si>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</si>
  <si>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</si>
  <si>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</si>
  <si>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</si>
  <si>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</si>
  <si>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</si>
  <si>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</si>
  <si>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</si>
  <si>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</si>
  <si>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</si>
  <si>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</si>
  <si>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</si>
  <si>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</si>
  <si>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</si>
  <si>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M1.5.b Multidimensional poverty headcount for urban residents (%) (disaggregation b)</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</si>
  <si>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</si>
  <si>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</si>
  <si>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</si>
  <si>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</si>
  <si>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</si>
  <si>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</si>
  <si>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</si>
  <si>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</si>
  <si>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</si>
  <si>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</si>
  <si>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</si>
  <si>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</si>
  <si>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</si>
  <si>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</si>
  <si>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</si>
  <si>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</si>
  <si>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</si>
  <si>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</si>
  <si>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</si>
  <si>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</si>
  <si>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</si>
  <si>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</si>
  <si>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</si>
  <si>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</si>
  <si>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</si>
  <si>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</si>
  <si>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</si>
  <si>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</si>
  <si>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</si>
  <si>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</si>
  <si>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</si>
  <si>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</si>
  <si>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</si>
  <si>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</si>
  <si>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</si>
  <si>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Table M1.1.c Multidimensional poverty headcount for all adults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</si>
  <si>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</si>
  <si>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</si>
  <si>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</si>
  <si>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</si>
  <si>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</si>
  <si>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</si>
  <si>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</si>
  <si>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</si>
  <si>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</si>
  <si>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</si>
  <si>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</si>
  <si>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</si>
  <si>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</si>
  <si>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</si>
  <si>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</si>
  <si>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</si>
  <si>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</si>
  <si>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</si>
  <si>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</si>
  <si>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</si>
  <si>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M1.2.c Multidimensional poverty headcount for females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</si>
  <si>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</si>
  <si>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</si>
  <si>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</si>
  <si>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</si>
  <si>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</si>
  <si>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</si>
  <si>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</si>
  <si>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</si>
  <si>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</si>
  <si>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</si>
  <si>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</si>
  <si>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</si>
  <si>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</si>
  <si>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</si>
  <si>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</si>
  <si>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</si>
  <si>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</si>
  <si>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</si>
  <si>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</si>
  <si>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</si>
  <si>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M1.3.c Multidimensional poverty headcount for males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</si>
  <si>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</si>
  <si>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</si>
  <si>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</si>
  <si>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</si>
  <si>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</si>
  <si>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</si>
  <si>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</si>
  <si>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</si>
  <si>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</si>
  <si>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</si>
  <si>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</si>
  <si>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</si>
  <si>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</si>
  <si>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</si>
  <si>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</si>
  <si>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</si>
  <si>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</si>
  <si>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</si>
  <si>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</si>
  <si>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</si>
  <si>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M1.4.c Multidimensional poverty headcount for rural residents (%) (disaggregation c)</t>
  </si>
  <si>
    <t>Region</t>
  </si>
  <si>
    <t>No or some difficulty</t>
  </si>
  <si>
    <t>At least a lot of difficulty</t>
  </si>
  <si>
    <t>Difference</t>
  </si>
  <si>
    <t>Statistical Significance of the Difference</t>
  </si>
  <si>
    <t>Acholi</t>
  </si>
  <si>
    <t>Ankole</t>
  </si>
  <si>
    <t>Bugisu</t>
  </si>
  <si>
    <t>Bukedi</t>
  </si>
  <si>
    <t>Bunyoro</t>
  </si>
  <si>
    <t>Busoga</t>
  </si>
  <si>
    <t>Karamoja</t>
  </si>
  <si>
    <t>Kigezi</t>
  </si>
  <si>
    <t>Lango</t>
  </si>
  <si>
    <t>North Buganda</t>
  </si>
  <si>
    <t>South Buganda</t>
  </si>
  <si>
    <t>Teso</t>
  </si>
  <si>
    <t>Tooro</t>
  </si>
  <si>
    <t>West Nile</t>
  </si>
  <si>
    <t>Table M1.5.c Multidimensional poverty headcount for urban residents (%) (disaggregation c)</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</si>
  <si>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</si>
  <si>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</si>
  <si>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</si>
  <si>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</si>
  <si>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</si>
  <si>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</si>
  <si>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</si>
  <si>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</si>
  <si>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</si>
  <si>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</si>
  <si>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</si>
  <si>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</si>
  <si>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</si>
  <si>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</si>
  <si>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</si>
  <si>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</si>
  <si>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</si>
  <si>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</si>
  <si>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</si>
  <si>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</si>
  <si>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</si>
  <si>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</si>
  <si>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</si>
  <si>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</si>
  <si>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</si>
  <si>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</si>
  <si>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</si>
  <si>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</si>
  <si>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</si>
  <si>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</si>
  <si>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</si>
  <si>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</si>
  <si>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</si>
  <si>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</si>
  <si>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</si>
  <si>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</si>
  <si>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</si>
  <si>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</si>
  <si>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</si>
  <si>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</si>
  <si>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</si>
  <si>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</si>
  <si>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</si>
  <si>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</si>
  <si>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</si>
  <si>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</si>
  <si>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</si>
  <si>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</si>
  <si>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</si>
  <si>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</si>
  <si>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</si>
  <si>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</si>
  <si>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</si>
  <si>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</si>
  <si>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</si>
  <si>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</si>
  <si>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</si>
  <si>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</si>
  <si>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</si>
  <si>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</si>
  <si>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</si>
  <si>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</si>
  <si>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</si>
  <si>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</si>
  <si>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</si>
  <si>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</si>
  <si>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</si>
  <si>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</si>
  <si>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</si>
  <si>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</si>
  <si>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</si>
  <si>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</si>
  <si>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</si>
  <si>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</si>
  <si>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</si>
  <si>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</si>
  <si>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</si>
  <si>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</si>
  <si>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</si>
  <si>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</si>
  <si>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</si>
  <si>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</si>
  <si>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</si>
  <si>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</si>
  <si>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</si>
  <si>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</si>
  <si>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</si>
  <si>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</si>
  <si>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</si>
  <si>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</si>
  <si>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</si>
  <si>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</si>
  <si>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</si>
  <si>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</si>
  <si>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</si>
  <si>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</si>
  <si>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</si>
  <si>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</si>
  <si>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</si>
  <si>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</si>
  <si>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</si>
  <si>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</si>
  <si>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</si>
  <si>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</si>
  <si>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</si>
  <si>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</si>
  <si>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</si>
  <si>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</si>
  <si>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</si>
  <si>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</si>
  <si>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</si>
  <si>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</si>
  <si>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</si>
  <si>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</si>
  <si>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</si>
  <si>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</si>
  <si>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</si>
  <si>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</si>
  <si>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</si>
  <si>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</si>
  <si>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</si>
  <si>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</si>
  <si>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</si>
  <si>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</si>
  <si>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</si>
  <si>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</si>
  <si>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</si>
  <si>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</si>
  <si>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</si>
  <si>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</si>
  <si>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</si>
  <si>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</si>
  <si>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</si>
  <si>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</si>
  <si>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</si>
  <si>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</si>
  <si>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</si>
  <si>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</si>
  <si>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</si>
  <si>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</si>
  <si>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</si>
  <si>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</si>
  <si>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</si>
  <si>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</si>
  <si>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</si>
  <si>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</si>
  <si>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</si>
  <si>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</si>
  <si>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</si>
  <si>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</si>
  <si>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</si>
  <si>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</si>
  <si>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</si>
  <si>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</si>
  <si>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</si>
  <si>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</si>
  <si>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</si>
  <si>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</si>
  <si>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</si>
  <si>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</si>
  <si>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</si>
  <si>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</si>
  <si>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</si>
  <si>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</si>
  <si>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</si>
  <si>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</si>
  <si>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</si>
  <si>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</si>
  <si>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</si>
  <si>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</si>
  <si>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</si>
  <si>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</si>
  <si>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</si>
  <si>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</si>
  <si>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</si>
  <si>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</si>
  <si>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</si>
  <si>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</si>
  <si>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</si>
  <si>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</si>
  <si>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</si>
  <si>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</si>
  <si>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</si>
  <si>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</si>
  <si>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</si>
  <si>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</si>
  <si>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</si>
  <si>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</si>
  <si>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</si>
  <si>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</si>
  <si>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</si>
  <si>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</si>
  <si>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</si>
  <si>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</si>
  <si>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</si>
  <si>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</si>
  <si>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</si>
  <si>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</si>
  <si>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</si>
  <si>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</si>
  <si>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</si>
  <si>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</si>
  <si>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</si>
  <si>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</si>
  <si>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</si>
  <si>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</si>
  <si>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</si>
  <si>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</si>
  <si>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</si>
  <si>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</si>
  <si>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</si>
  <si>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</si>
  <si>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</si>
  <si>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</si>
  <si>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</si>
  <si>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</si>
  <si>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</si>
  <si>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</si>
  <si>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</si>
  <si>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</si>
  <si>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</si>
  <si>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</si>
  <si>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</si>
  <si>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</si>
  <si>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</si>
  <si>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</si>
  <si>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</si>
  <si>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</si>
  <si>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</si>
  <si>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</si>
  <si>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</si>
  <si>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</si>
  <si>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</si>
  <si>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</si>
  <si>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</si>
  <si>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</si>
  <si>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</si>
  <si>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</si>
  <si>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</si>
  <si>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</si>
  <si>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</si>
  <si>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</si>
  <si>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</si>
  <si>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</si>
  <si>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</si>
  <si>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</si>
  <si>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</si>
  <si>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</si>
  <si>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</si>
  <si>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</si>
  <si>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</si>
  <si>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</si>
  <si>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</si>
  <si>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</si>
  <si>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</si>
  <si>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</si>
  <si>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</si>
  <si>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</si>
  <si>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</si>
  <si>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</si>
  <si>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</si>
  <si>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</si>
  <si>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</si>
  <si>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</si>
  <si>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</si>
  <si>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</si>
  <si>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</si>
  <si>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</si>
  <si>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</si>
  <si>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</si>
  <si>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</si>
  <si>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</si>
  <si>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</si>
  <si>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</si>
  <si>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</si>
  <si>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</si>
  <si>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</si>
  <si>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</si>
  <si>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</si>
  <si>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</si>
  <si>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</si>
  <si>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</si>
  <si>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</si>
  <si>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</si>
  <si>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</si>
  <si>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</si>
  <si>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</si>
  <si>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</si>
  <si>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</si>
  <si>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</si>
  <si>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</si>
  <si>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</si>
  <si>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</si>
  <si>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</si>
  <si>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</si>
  <si>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</si>
  <si>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</si>
  <si>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</si>
  <si>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</si>
  <si>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</si>
  <si>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</si>
  <si>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</si>
  <si>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</si>
  <si>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</si>
  <si>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</si>
  <si>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</si>
  <si>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</si>
  <si>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</si>
  <si>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</si>
  <si>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</si>
  <si>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</si>
  <si>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</si>
  <si>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</si>
  <si>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</si>
  <si>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</si>
  <si>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</si>
  <si>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</si>
  <si>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</si>
  <si>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</si>
  <si>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</si>
  <si>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</si>
  <si>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</si>
  <si>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</si>
  <si>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</si>
  <si>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</si>
  <si>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</si>
  <si>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</si>
  <si>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</si>
  <si>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</si>
  <si>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</si>
  <si>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</si>
  <si>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</si>
  <si>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</si>
  <si>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</si>
  <si>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</si>
  <si>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</si>
  <si>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</si>
  <si>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</si>
  <si>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</si>
  <si>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</si>
  <si>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</si>
  <si>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</si>
  <si>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</si>
  <si>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</si>
  <si>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</si>
  <si>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</si>
  <si>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</si>
  <si>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</si>
  <si>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</si>
  <si>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</si>
  <si>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</si>
  <si>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</si>
  <si>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</si>
  <si>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</si>
  <si>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</si>
  <si>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</si>
  <si>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</si>
  <si>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</si>
  <si>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</si>
  <si>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</si>
  <si>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</si>
  <si>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</si>
  <si>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</si>
  <si>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</si>
  <si>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</si>
  <si>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</si>
  <si>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</si>
  <si>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</si>
  <si>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</si>
  <si>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</si>
  <si>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</si>
  <si>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</si>
  <si>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</si>
  <si>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</si>
  <si>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</si>
  <si>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</si>
  <si>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</si>
  <si>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</si>
  <si>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</si>
  <si>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</si>
  <si>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</si>
  <si>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</si>
  <si>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</si>
  <si>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</si>
  <si>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</si>
  <si>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</si>
  <si>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</si>
  <si>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</si>
  <si>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</si>
  <si>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</si>
  <si>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</si>
  <si>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</si>
  <si>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</si>
  <si>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</si>
  <si>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</si>
  <si>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</si>
  <si>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</si>
  <si>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</si>
  <si>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</si>
  <si>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</si>
  <si>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</si>
  <si>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</si>
  <si>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</si>
  <si>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</si>
  <si>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</si>
  <si>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</si>
  <si>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</si>
  <si>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</si>
  <si>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</si>
  <si>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</si>
  <si>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</si>
  <si>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</si>
  <si>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</si>
  <si>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</si>
  <si>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</si>
  <si>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</si>
  <si>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</si>
  <si>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</si>
  <si>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</si>
  <si>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</si>
  <si>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</si>
  <si>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</si>
  <si>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</si>
  <si>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</si>
  <si>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</si>
  <si>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</si>
  <si>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</si>
  <si>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</si>
  <si>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</si>
  <si>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</si>
  <si>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</si>
  <si>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</si>
  <si>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</si>
  <si>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</si>
  <si>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</si>
  <si>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</si>
  <si>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</si>
  <si>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</si>
  <si>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</si>
  <si>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</si>
  <si>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</si>
  <si>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</si>
  <si>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</si>
  <si>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</si>
  <si>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</si>
  <si>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</si>
  <si>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</si>
  <si>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</si>
  <si>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</si>
  <si>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</si>
  <si>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</si>
  <si>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</si>
  <si>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</si>
  <si>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</si>
  <si>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</si>
  <si>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</si>
  <si>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</si>
  <si>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</si>
  <si>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</si>
  <si>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</si>
  <si>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</si>
  <si>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</si>
  <si>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</si>
  <si>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</si>
  <si>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</si>
  <si>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</si>
  <si>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</si>
  <si>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</si>
  <si>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</si>
  <si>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</si>
  <si>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</si>
  <si>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</si>
  <si>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</si>
  <si>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</si>
  <si>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</si>
  <si>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</si>
  <si>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</si>
  <si>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</si>
  <si>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</si>
  <si>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</si>
  <si>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</si>
  <si>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</si>
  <si>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</si>
  <si>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</si>
  <si>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</si>
  <si>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</si>
  <si>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</si>
  <si>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</si>
  <si>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</si>
  <si>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</si>
  <si>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</si>
  <si>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</si>
  <si>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</si>
  <si>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</si>
  <si>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</si>
  <si>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</si>
  <si>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</si>
  <si>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</si>
  <si>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</si>
  <si>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</si>
  <si>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</si>
  <si>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</si>
  <si>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</si>
  <si>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</si>
  <si>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</si>
  <si>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</si>
  <si>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</si>
  <si>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</si>
  <si>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</si>
  <si>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</si>
  <si>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</si>
  <si>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</si>
  <si>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</si>
  <si>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</si>
  <si>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</si>
  <si>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</si>
  <si>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</si>
  <si>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</si>
  <si>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</si>
  <si>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</si>
  <si>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</si>
  <si>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</si>
  <si>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</si>
  <si>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</si>
  <si>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</si>
  <si>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</si>
  <si>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</si>
  <si>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</si>
  <si>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</si>
  <si>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</si>
  <si>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</si>
  <si>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</si>
  <si>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</si>
  <si>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</si>
  <si>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</si>
  <si>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</si>
  <si>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</si>
  <si>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</si>
  <si>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</si>
  <si>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</si>
  <si>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</si>
  <si>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</si>
  <si>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</si>
  <si>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</si>
  <si>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</si>
  <si>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</si>
  <si>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</si>
  <si>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</si>
  <si>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</si>
  <si>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</si>
  <si>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</si>
  <si>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</si>
  <si>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</si>
  <si>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</si>
  <si>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</si>
  <si>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</si>
  <si>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</si>
  <si>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</si>
  <si>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</si>
  <si>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</si>
  <si>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</si>
  <si>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</si>
  <si>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</si>
  <si>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</si>
  <si>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</si>
  <si>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</si>
  <si>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</si>
  <si>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</si>
  <si>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</si>
  <si>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</si>
  <si>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</si>
  <si>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</si>
  <si>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</si>
  <si>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</si>
  <si>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</si>
  <si>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</si>
  <si>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</si>
  <si>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</si>
  <si>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</si>
  <si>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</si>
  <si>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</si>
  <si>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</si>
  <si>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</si>
  <si>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</si>
  <si>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</si>
  <si>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</si>
  <si>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</si>
  <si>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</si>
  <si>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</si>
  <si>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</si>
  <si>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</si>
  <si>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</si>
  <si>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</si>
  <si>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</si>
  <si>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</si>
  <si>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</si>
  <si>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</si>
  <si>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</si>
  <si>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</si>
  <si>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</si>
  <si>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</si>
  <si>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</si>
  <si>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</si>
  <si>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</si>
  <si>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</si>
  <si>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</si>
  <si>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</si>
  <si>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</si>
  <si>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</si>
  <si>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</si>
  <si>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</si>
  <si>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</si>
  <si>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</si>
  <si>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</si>
  <si>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</si>
  <si>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</si>
  <si>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</si>
  <si>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</si>
  <si>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</si>
  <si>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</si>
  <si>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</si>
  <si>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</si>
  <si>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</si>
  <si>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</si>
  <si>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</si>
  <si>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</si>
  <si>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</si>
  <si>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</si>
  <si>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</si>
  <si>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</si>
  <si>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</si>
  <si>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</si>
  <si>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</si>
  <si>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</si>
  <si>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</si>
  <si>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</si>
  <si>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</si>
  <si>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</si>
  <si>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</si>
  <si>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</si>
  <si>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</si>
  <si>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</si>
  <si>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</si>
  <si>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</si>
  <si>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</si>
  <si>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</si>
  <si>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</si>
  <si>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</si>
  <si>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</si>
  <si>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</si>
  <si>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</si>
  <si>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</si>
  <si>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</si>
  <si>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</si>
  <si>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</si>
  <si>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</si>
  <si>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</si>
  <si>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</si>
  <si>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</si>
  <si>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</si>
  <si>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</si>
  <si>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</si>
  <si>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</si>
  <si>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</si>
  <si>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</si>
  <si>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</si>
  <si>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</si>
  <si>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</si>
  <si>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</si>
  <si>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</si>
  <si>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</si>
  <si>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</si>
  <si>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</si>
  <si>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</si>
  <si>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</si>
  <si>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</si>
  <si>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</si>
  <si>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</si>
  <si>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</si>
  <si>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</si>
  <si>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</si>
  <si>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</si>
  <si>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</si>
  <si>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</si>
  <si>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</si>
  <si>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</si>
  <si>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</si>
  <si>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</si>
  <si>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</si>
  <si>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</si>
  <si>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</si>
  <si>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</si>
  <si>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</si>
  <si>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</si>
  <si>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</si>
  <si>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</si>
  <si>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</si>
  <si>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</si>
  <si>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</si>
  <si>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</si>
  <si>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</si>
  <si>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</si>
  <si>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</si>
  <si>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</si>
  <si>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</si>
  <si>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</si>
  <si>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</si>
  <si>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</si>
  <si>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</si>
  <si>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</si>
  <si>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</si>
  <si>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</si>
  <si>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</si>
  <si>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</si>
  <si>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</si>
  <si>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</si>
  <si>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</si>
  <si>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</si>
  <si>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</si>
  <si>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</si>
  <si>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</si>
  <si>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</si>
  <si>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</si>
  <si>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</si>
  <si>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</si>
  <si>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</si>
  <si>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</si>
  <si>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</si>
  <si>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</si>
  <si>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</si>
  <si>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</si>
  <si>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</si>
  <si>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</si>
  <si>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</si>
  <si>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</si>
  <si>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</si>
  <si>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</si>
  <si>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</si>
  <si>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</si>
  <si>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</si>
  <si>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</si>
  <si>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</si>
  <si>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</si>
  <si>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</si>
  <si>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</si>
  <si>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</si>
  <si>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</si>
  <si>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</si>
  <si>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</si>
  <si>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</si>
  <si>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</si>
  <si>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</si>
  <si>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</si>
  <si>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</si>
  <si>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</si>
  <si>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</si>
  <si>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</si>
  <si>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</si>
  <si>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</si>
  <si>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</si>
  <si>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</si>
  <si>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</si>
  <si>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</si>
  <si>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</si>
  <si>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</si>
  <si>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</si>
  <si>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</si>
  <si>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</si>
  <si>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</si>
  <si>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</si>
  <si>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</si>
  <si>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</si>
  <si>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</si>
  <si>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</si>
  <si>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</si>
  <si>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</si>
  <si>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</si>
  <si>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</si>
  <si>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</si>
  <si>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</si>
  <si>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</si>
  <si>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</si>
  <si>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</si>
  <si>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</si>
  <si>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</si>
  <si>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</si>
  <si>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</si>
  <si>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</si>
  <si>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</si>
  <si>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</si>
  <si>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</si>
  <si>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</si>
  <si>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</si>
  <si>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</si>
  <si>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</si>
  <si>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</si>
  <si>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</si>
  <si>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</si>
  <si>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</si>
  <si>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</si>
  <si>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</si>
  <si>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</si>
  <si>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</si>
  <si>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</si>
  <si>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</si>
  <si>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</si>
  <si>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</si>
  <si>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</si>
  <si>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</si>
  <si>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</si>
  <si>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</si>
  <si>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</si>
  <si>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</si>
  <si>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</si>
  <si>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</si>
  <si>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</si>
  <si>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</si>
  <si>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</si>
  <si>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</si>
  <si>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</si>
  <si>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</si>
  <si>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</si>
  <si>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</si>
  <si>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</si>
  <si>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</si>
  <si>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</si>
  <si>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</si>
  <si>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</si>
  <si>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</si>
  <si>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</si>
  <si>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</si>
  <si>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</si>
  <si>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</si>
  <si>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</si>
  <si>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</si>
  <si>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</si>
  <si>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</si>
  <si>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</si>
  <si>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</si>
  <si>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</si>
  <si>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</si>
  <si>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</si>
  <si>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</si>
  <si>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</si>
  <si>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</si>
  <si>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</si>
  <si>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</si>
  <si>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</si>
  <si>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</si>
  <si>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</si>
  <si>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</si>
  <si>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</si>
  <si>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</si>
  <si>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</si>
  <si>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</si>
  <si>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</si>
  <si>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</si>
  <si>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</si>
  <si>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</si>
  <si>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</si>
  <si>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</si>
  <si>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</si>
  <si>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</si>
  <si>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</si>
  <si>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</si>
  <si>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</si>
  <si>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</si>
  <si>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</si>
  <si>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</si>
  <si>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</si>
  <si>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</si>
  <si>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</si>
  <si>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</si>
  <si>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</si>
  <si>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</si>
  <si>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</si>
  <si>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</si>
  <si>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</si>
  <si>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</si>
  <si>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</si>
  <si>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</si>
  <si>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</si>
  <si>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</si>
  <si>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</si>
  <si>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</si>
  <si>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</si>
  <si>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</si>
  <si>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</si>
  <si>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</si>
  <si>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</si>
  <si>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</si>
  <si>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</si>
  <si>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</si>
  <si>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</si>
  <si>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</si>
  <si>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</si>
  <si>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</si>
  <si>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</si>
  <si>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</si>
  <si>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</si>
  <si>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</si>
  <si>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</si>
  <si>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</si>
  <si>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</si>
  <si>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</si>
  <si>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</si>
  <si>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</si>
  <si>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</si>
  <si>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</si>
  <si>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</si>
  <si>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</si>
  <si>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</si>
  <si>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</si>
  <si>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</si>
  <si>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</si>
  <si>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</si>
  <si>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</si>
  <si>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</si>
  <si>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</si>
  <si>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</si>
  <si>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</si>
  <si>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</si>
  <si>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</si>
  <si>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</si>
  <si>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</si>
  <si>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</si>
  <si>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</si>
  <si>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</si>
  <si>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</si>
  <si>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</si>
  <si>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</si>
  <si>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</si>
  <si>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</si>
  <si>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</si>
  <si>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</si>
  <si>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</si>
  <si>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</si>
  <si>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</si>
  <si>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</si>
  <si>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</si>
  <si>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</si>
  <si>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</si>
  <si>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</si>
  <si>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</si>
  <si>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</si>
  <si>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</si>
  <si>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</si>
  <si>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</si>
  <si>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</si>
  <si>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</si>
  <si>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</si>
  <si>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</si>
  <si>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</si>
  <si>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</si>
  <si>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</si>
  <si>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</si>
  <si>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</si>
  <si>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</si>
  <si>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</si>
  <si>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</si>
  <si>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</si>
  <si>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</si>
  <si>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</si>
  <si>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</si>
  <si>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</si>
  <si>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</si>
  <si>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</si>
  <si>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</si>
  <si>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</si>
  <si>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</si>
  <si>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</si>
  <si>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</si>
  <si>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</si>
  <si>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</si>
  <si>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</si>
  <si>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</si>
  <si>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</si>
  <si>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</si>
  <si>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</si>
  <si>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</si>
  <si>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</si>
  <si>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</si>
  <si>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</si>
  <si>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</si>
  <si>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</si>
  <si>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</si>
  <si>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</si>
  <si>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</si>
  <si>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</si>
  <si>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</si>
  <si>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</si>
  <si>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</si>
  <si>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</si>
  <si>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</si>
  <si>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</si>
  <si>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</si>
  <si>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</si>
  <si>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</si>
  <si>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</si>
  <si>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</si>
  <si>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</si>
  <si>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</si>
  <si>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</si>
  <si>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</si>
  <si>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</si>
  <si>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</si>
  <si>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</si>
  <si>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</si>
  <si>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</si>
  <si>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</si>
  <si>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</si>
  <si>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</si>
  <si>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</si>
  <si>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</si>
  <si>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</si>
  <si>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</si>
  <si>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</si>
  <si>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</si>
  <si>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</si>
  <si>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</si>
  <si>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</si>
  <si>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</si>
  <si>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</si>
  <si>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</si>
  <si>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</si>
  <si>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</si>
  <si>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</si>
  <si>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</si>
  <si>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</si>
  <si>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</si>
  <si>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</si>
  <si>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</si>
  <si>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</si>
  <si>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</si>
  <si>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</si>
  <si>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</si>
  <si>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</si>
  <si>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</si>
  <si>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</si>
  <si>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</si>
  <si>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</si>
  <si>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</si>
  <si>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</si>
  <si>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</si>
  <si>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</si>
  <si>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</si>
  <si>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</si>
  <si>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</si>
  <si>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</si>
  <si>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</si>
  <si>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</si>
  <si>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</si>
  <si>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</si>
  <si>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</si>
  <si>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</si>
  <si>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</si>
  <si>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</si>
  <si>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</si>
  <si>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</si>
  <si>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</si>
  <si>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</si>
  <si>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</si>
  <si>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</si>
  <si>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</si>
  <si>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</si>
  <si>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</si>
  <si>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</si>
  <si>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</si>
  <si>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</si>
  <si>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</si>
  <si>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</si>
  <si>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</si>
  <si>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</si>
  <si>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</si>
  <si>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</si>
  <si>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</si>
  <si>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</si>
  <si>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</si>
  <si>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</si>
  <si>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</si>
  <si>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</si>
  <si>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</si>
  <si>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</si>
  <si>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</si>
  <si>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</si>
  <si>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</si>
  <si>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</si>
  <si>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</si>
  <si>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</si>
  <si>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</si>
  <si>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</si>
  <si>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</si>
  <si>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</si>
  <si>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</si>
  <si>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</si>
  <si>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</si>
  <si>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</si>
  <si>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</si>
  <si>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</si>
  <si>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</si>
  <si>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</si>
  <si>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</si>
  <si>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</si>
  <si>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</si>
  <si>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</si>
  <si>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</si>
  <si>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</si>
  <si>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</si>
  <si>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</si>
  <si>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</si>
  <si>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</si>
  <si>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</si>
  <si>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</si>
  <si>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</si>
  <si>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</si>
  <si>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</si>
  <si>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</si>
  <si>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</si>
  <si>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</si>
  <si>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</si>
  <si>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</si>
  <si>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</si>
  <si>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</si>
  <si>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</si>
  <si>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</si>
  <si>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</si>
  <si>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</si>
  <si>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</si>
  <si>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</si>
  <si>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</si>
  <si>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</si>
  <si>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</si>
  <si>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</si>
  <si>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</si>
  <si>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</si>
  <si>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</si>
  <si>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</si>
  <si>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</si>
  <si>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</si>
  <si>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</si>
  <si>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</si>
  <si>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</si>
  <si>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</si>
  <si>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</si>
  <si>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</si>
  <si>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</si>
  <si>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</si>
  <si>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</si>
  <si>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</si>
  <si>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</si>
  <si>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</si>
  <si>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</si>
  <si>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</si>
  <si>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</si>
  <si>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</si>
  <si>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</si>
  <si>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</si>
  <si>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</si>
  <si>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</si>
  <si>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</si>
  <si>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</si>
  <si>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</si>
  <si>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</si>
  <si>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</si>
  <si>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</si>
  <si>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</si>
  <si>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</si>
  <si>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</si>
  <si>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</si>
  <si>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</si>
  <si>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</si>
  <si>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</si>
  <si>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</si>
  <si>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</si>
  <si>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</si>
  <si>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</si>
  <si>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</si>
  <si>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</si>
  <si>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</si>
  <si>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</si>
  <si>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</si>
  <si>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</si>
  <si>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</si>
  <si>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</si>
  <si>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</si>
  <si>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</si>
  <si>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</si>
  <si>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</si>
  <si>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</si>
  <si>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</si>
  <si>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</si>
  <si>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</si>
  <si>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</si>
  <si>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</si>
  <si>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</si>
  <si>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</si>
  <si>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</si>
  <si>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</si>
  <si>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</si>
  <si>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</si>
  <si>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</si>
  <si>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</si>
  <si>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</si>
  <si>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</si>
  <si>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</si>
  <si>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</si>
  <si>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</si>
  <si>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</si>
  <si>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</si>
  <si>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</si>
  <si>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</si>
  <si>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</si>
  <si>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</si>
  <si>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</si>
  <si>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</si>
  <si>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</si>
  <si>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</si>
  <si>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</si>
  <si>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</si>
  <si>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</si>
  <si>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</si>
  <si>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</si>
  <si>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</si>
  <si>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</si>
  <si>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</si>
  <si>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</si>
  <si>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</si>
  <si>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</si>
  <si>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</si>
  <si>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</si>
  <si>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</si>
  <si>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</si>
  <si>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</si>
  <si>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</si>
  <si>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</si>
  <si>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</si>
  <si>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</si>
  <si>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</si>
  <si>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</si>
  <si>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</si>
  <si>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</si>
  <si>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</si>
  <si>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</si>
  <si>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</si>
  <si>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</si>
  <si>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</si>
  <si>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</si>
  <si>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</si>
  <si>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</si>
  <si>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</si>
  <si>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</si>
  <si>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</si>
  <si>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</si>
  <si>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</si>
  <si>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</si>
  <si>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</si>
  <si>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</si>
  <si>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</si>
  <si>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</si>
  <si>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</si>
  <si>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</si>
  <si>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</si>
  <si>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</si>
  <si>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</si>
  <si>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</si>
  <si>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</si>
  <si>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</si>
  <si>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</si>
  <si>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</si>
  <si>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</si>
  <si>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</si>
  <si>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</si>
  <si>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</si>
  <si>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</si>
  <si>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</si>
  <si>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</si>
  <si>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</si>
  <si>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</si>
  <si>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</si>
  <si>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</si>
  <si>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</si>
  <si>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</si>
  <si>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</si>
  <si>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</si>
  <si>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</si>
  <si>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</si>
  <si>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</si>
  <si>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</si>
  <si>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</si>
  <si>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</si>
  <si>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</si>
  <si>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</si>
  <si>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</si>
  <si>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</si>
  <si>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</si>
  <si>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</si>
  <si>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</si>
  <si>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</si>
  <si>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</si>
  <si>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</si>
  <si>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</si>
  <si>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</si>
  <si>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</si>
  <si>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</si>
  <si>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</si>
  <si>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</si>
  <si>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</si>
  <si>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</si>
  <si>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</si>
  <si>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</si>
  <si>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</si>
  <si>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</si>
  <si>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</si>
  <si>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</si>
  <si>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</si>
  <si>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</si>
  <si>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</si>
  <si>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</si>
  <si>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</si>
  <si>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</si>
  <si>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</si>
  <si>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</si>
  <si>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</si>
  <si>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</si>
  <si>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</si>
  <si>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</si>
  <si>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</si>
  <si>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</si>
  <si>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</si>
  <si>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</si>
  <si>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</si>
  <si>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</si>
  <si>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</si>
  <si>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</si>
  <si>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</si>
  <si>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</si>
  <si>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</si>
  <si>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</si>
  <si>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</si>
  <si>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</si>
  <si>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</si>
  <si>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</si>
  <si>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</si>
  <si>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</si>
  <si>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</si>
  <si>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</si>
  <si>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</si>
  <si>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</si>
  <si>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</si>
  <si>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</si>
  <si>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</si>
  <si>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</si>
  <si>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</si>
  <si>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</si>
  <si>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</si>
  <si>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</si>
  <si>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</si>
  <si>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</si>
  <si>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</si>
  <si>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</si>
  <si>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</si>
  <si>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</si>
  <si>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</si>
  <si>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</si>
  <si>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</si>
  <si>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</si>
  <si>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</si>
  <si>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</si>
  <si>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</si>
  <si>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</si>
  <si>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</si>
  <si>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</si>
  <si>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</si>
  <si>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</si>
  <si>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</si>
  <si>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</si>
  <si>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</si>
  <si>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</si>
  <si>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</si>
  <si>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</si>
  <si>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</si>
  <si>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</si>
  <si>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</si>
  <si>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</si>
  <si>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</si>
  <si>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</si>
  <si>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</si>
  <si>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</si>
  <si>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</si>
  <si>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</si>
  <si>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</si>
  <si>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</si>
  <si>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</si>
  <si>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</si>
  <si>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</si>
  <si>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</si>
  <si>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</si>
  <si>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</si>
  <si>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</si>
  <si>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</si>
  <si>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</si>
  <si>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</si>
  <si>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</si>
  <si>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</si>
  <si>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</si>
  <si>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</si>
  <si>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</si>
  <si>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</si>
  <si>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</si>
  <si>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</si>
  <si>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</si>
  <si>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</si>
  <si>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</si>
  <si>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</si>
  <si>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</si>
  <si>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</si>
  <si>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</si>
  <si>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</si>
  <si>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</si>
  <si>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</si>
  <si>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</si>
  <si>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</si>
  <si>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</si>
  <si>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</si>
  <si>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</si>
  <si>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</si>
  <si>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</si>
  <si>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</si>
  <si>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Any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</si>
  <si>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</si>
  <si>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</si>
  <si>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</si>
  <si>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</si>
  <si>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</si>
  <si>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</si>
  <si>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</si>
  <si>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</si>
  <si>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</si>
  <si>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</si>
  <si>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</si>
  <si>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</si>
  <si>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</si>
  <si>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</si>
  <si>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</si>
  <si>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</si>
  <si>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</si>
  <si>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</si>
  <si>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</si>
  <si>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</si>
  <si>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</si>
  <si>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</si>
  <si>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</si>
  <si>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</si>
  <si>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</si>
  <si>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</si>
  <si>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</si>
  <si>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</si>
  <si>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</si>
  <si>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</si>
  <si>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</si>
  <si>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</si>
  <si>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</si>
  <si>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</si>
  <si>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</si>
  <si>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</si>
  <si>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</si>
  <si>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</si>
  <si>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difficulty</t>
  </si>
  <si>
    <t>Some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</si>
  <si>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</si>
  <si>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</si>
  <si>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</si>
  <si>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</si>
  <si>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</si>
  <si>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</si>
  <si>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</si>
  <si>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</si>
  <si>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</si>
  <si>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</si>
  <si>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</si>
  <si>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</si>
  <si>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</si>
  <si>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</si>
  <si>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</si>
  <si>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</si>
  <si>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</si>
  <si>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At least a lot of difficulty</t>
  </si>
  <si>
    <t>Difference No difficulty &amp; At least a lot of difficulty</t>
  </si>
  <si>
    <t>Statistical Significance of the Difference (No difficulty vs At least a lot)</t>
  </si>
  <si>
    <t>At least a lot of difficulty</t>
  </si>
  <si>
    <t>Difference No difficulty &amp; At least a lot of difficulty</t>
  </si>
  <si>
    <t>Statistical Significance of the Difference (No difficulty vs At least a lot)</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</si>
  <si>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</si>
  <si>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</si>
  <si>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</si>
  <si>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</si>
  <si>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</si>
  <si>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</si>
  <si>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</si>
  <si>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</si>
  <si>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</si>
  <si>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</si>
  <si>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</si>
  <si>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</si>
  <si>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</si>
  <si>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</si>
  <si>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</si>
  <si>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</si>
  <si>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</si>
  <si>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</si>
  <si>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</si>
  <si>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</si>
  <si>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Region</t>
  </si>
  <si>
    <t>No or some difficulty</t>
  </si>
  <si>
    <t>At least a lot of difficulty</t>
  </si>
  <si>
    <t>Difference</t>
  </si>
  <si>
    <t>Statistical Significance of the Difference</t>
  </si>
  <si>
    <t>Acholi</t>
  </si>
  <si>
    <t>Ankole</t>
  </si>
  <si>
    <t>Bugisu</t>
  </si>
  <si>
    <t>Bukedi</t>
  </si>
  <si>
    <t>Bunyoro</t>
  </si>
  <si>
    <t>Busoga</t>
  </si>
  <si>
    <t>Kampala</t>
  </si>
  <si>
    <t>Karamoja</t>
  </si>
  <si>
    <t>Kigezi</t>
  </si>
  <si>
    <t>Lango</t>
  </si>
  <si>
    <t>North Buganda</t>
  </si>
  <si>
    <t>South Buganda</t>
  </si>
  <si>
    <t>Teso</t>
  </si>
  <si>
    <t>Tooro</t>
  </si>
  <si>
    <t>West Nile</t>
  </si>
  <si>
    <t>Table E1 Share of all adults who have ever attended school (%) by functional difficulty type</t>
  </si>
  <si>
    <t>Acholi</t>
  </si>
  <si>
    <t>Ankole</t>
  </si>
  <si>
    <t>Bugisu</t>
  </si>
  <si>
    <t>Bukedi</t>
  </si>
  <si>
    <t>Bunyoro</t>
  </si>
  <si>
    <t>Busoga</t>
  </si>
  <si>
    <t>Kampala</t>
  </si>
  <si>
    <t>Karamoja</t>
  </si>
  <si>
    <t>Kigezi</t>
  </si>
  <si>
    <t>Lango</t>
  </si>
  <si>
    <t>North Buganda</t>
  </si>
  <si>
    <t>South Buganda</t>
  </si>
  <si>
    <t>Teso</t>
  </si>
  <si>
    <t>Tooro</t>
  </si>
  <si>
    <t>Seeing</t>
  </si>
  <si>
    <t>Hearing</t>
  </si>
  <si>
    <t>Mobility</t>
  </si>
  <si>
    <t>Cognition</t>
  </si>
  <si>
    <t>Self-Care</t>
  </si>
  <si>
    <t>West Nile</t>
  </si>
  <si>
    <t>Region</t>
  </si>
  <si>
    <t>Communication</t>
  </si>
  <si>
    <t>Table E2 Share of all adults who have less than primary school completion (%) by functional difficulty type</t>
  </si>
  <si>
    <t>Acholi</t>
  </si>
  <si>
    <t>Ankole</t>
  </si>
  <si>
    <t>Bugisu</t>
  </si>
  <si>
    <t>Bukedi</t>
  </si>
  <si>
    <t>Bunyoro</t>
  </si>
  <si>
    <t>Busoga</t>
  </si>
  <si>
    <t>Kampala</t>
  </si>
  <si>
    <t>Karamoja</t>
  </si>
  <si>
    <t>Kigezi</t>
  </si>
  <si>
    <t>Lango</t>
  </si>
  <si>
    <t>North Buganda</t>
  </si>
  <si>
    <t>South Buganda</t>
  </si>
  <si>
    <t>Teso</t>
  </si>
  <si>
    <t>Tooro</t>
  </si>
  <si>
    <t>Seeing</t>
  </si>
  <si>
    <t>Hearing</t>
  </si>
  <si>
    <t>Mobility</t>
  </si>
  <si>
    <t>Cognition</t>
  </si>
  <si>
    <t>Self-Care</t>
  </si>
  <si>
    <t>West Nile</t>
  </si>
  <si>
    <t>Region</t>
  </si>
  <si>
    <t>Communication</t>
  </si>
  <si>
    <t>Table E3 Share of all adults who have completed primary school (%) by functional difficulty type</t>
  </si>
  <si>
    <t>Acholi</t>
  </si>
  <si>
    <t>Ankole</t>
  </si>
  <si>
    <t>Bugisu</t>
  </si>
  <si>
    <t>Bukedi</t>
  </si>
  <si>
    <t>Bunyoro</t>
  </si>
  <si>
    <t>Busoga</t>
  </si>
  <si>
    <t>Kampala</t>
  </si>
  <si>
    <t>Karamoja</t>
  </si>
  <si>
    <t>Kigezi</t>
  </si>
  <si>
    <t>Lango</t>
  </si>
  <si>
    <t>North Buganda</t>
  </si>
  <si>
    <t>South Buganda</t>
  </si>
  <si>
    <t>Teso</t>
  </si>
  <si>
    <t>Tooro</t>
  </si>
  <si>
    <t>Seeing</t>
  </si>
  <si>
    <t>Hearing</t>
  </si>
  <si>
    <t>Mobility</t>
  </si>
  <si>
    <t>Cognition</t>
  </si>
  <si>
    <t>Self-Care</t>
  </si>
  <si>
    <t>West Nile</t>
  </si>
  <si>
    <t>Region</t>
  </si>
  <si>
    <t>Communication</t>
  </si>
  <si>
    <t>Table E4 Share of all adults who have completed secondary school or higher (%) by functional difficulty type</t>
  </si>
  <si>
    <t>Acholi</t>
  </si>
  <si>
    <t>Ankole</t>
  </si>
  <si>
    <t>Bugisu</t>
  </si>
  <si>
    <t>Bukedi</t>
  </si>
  <si>
    <t>Bunyoro</t>
  </si>
  <si>
    <t>Busoga</t>
  </si>
  <si>
    <t>Kampala</t>
  </si>
  <si>
    <t>Karamoja</t>
  </si>
  <si>
    <t>Kigezi</t>
  </si>
  <si>
    <t>Lango</t>
  </si>
  <si>
    <t>North Buganda</t>
  </si>
  <si>
    <t>South Buganda</t>
  </si>
  <si>
    <t>Teso</t>
  </si>
  <si>
    <t>Tooro</t>
  </si>
  <si>
    <t>Seeing</t>
  </si>
  <si>
    <t>Hearing</t>
  </si>
  <si>
    <t>Mobility</t>
  </si>
  <si>
    <t>Cognition</t>
  </si>
  <si>
    <t>Self-Care</t>
  </si>
  <si>
    <t>West Nile</t>
  </si>
  <si>
    <t>Region</t>
  </si>
  <si>
    <t>Communication</t>
  </si>
  <si>
    <t>Table H1 Share of all adults in households using safely managed drinking water (%) by functional difficulty type</t>
  </si>
  <si>
    <t>Acholi</t>
  </si>
  <si>
    <t>Ankole</t>
  </si>
  <si>
    <t>Bugisu</t>
  </si>
  <si>
    <t>Bukedi</t>
  </si>
  <si>
    <t>Bunyoro</t>
  </si>
  <si>
    <t>Busoga</t>
  </si>
  <si>
    <t>Kampala</t>
  </si>
  <si>
    <t>Karamoja</t>
  </si>
  <si>
    <t>Kigezi</t>
  </si>
  <si>
    <t>Lango</t>
  </si>
  <si>
    <t>North Buganda</t>
  </si>
  <si>
    <t>South Buganda</t>
  </si>
  <si>
    <t>Teso</t>
  </si>
  <si>
    <t>Tooro</t>
  </si>
  <si>
    <t>Seeing</t>
  </si>
  <si>
    <t>Hearing</t>
  </si>
  <si>
    <t>Mobility</t>
  </si>
  <si>
    <t>Cognition</t>
  </si>
  <si>
    <t>Self-Care</t>
  </si>
  <si>
    <t>West Nile</t>
  </si>
  <si>
    <t>Region</t>
  </si>
  <si>
    <t>Communication</t>
  </si>
  <si>
    <t>Table H2 Share of all adults in households using safely managed sanitation services (%) by functional difficulty type</t>
  </si>
  <si>
    <t>Acholi</t>
  </si>
  <si>
    <t>Ankole</t>
  </si>
  <si>
    <t>Bugisu</t>
  </si>
  <si>
    <t>Bukedi</t>
  </si>
  <si>
    <t>Bunyoro</t>
  </si>
  <si>
    <t>Busoga</t>
  </si>
  <si>
    <t>Kampala</t>
  </si>
  <si>
    <t>Karamoja</t>
  </si>
  <si>
    <t>Kigezi</t>
  </si>
  <si>
    <t>Lango</t>
  </si>
  <si>
    <t>North Buganda</t>
  </si>
  <si>
    <t>South Buganda</t>
  </si>
  <si>
    <t>Teso</t>
  </si>
  <si>
    <t>Tooro</t>
  </si>
  <si>
    <t>Seeing</t>
  </si>
  <si>
    <t>Hearing</t>
  </si>
  <si>
    <t>Mobility</t>
  </si>
  <si>
    <t>Cognition</t>
  </si>
  <si>
    <t>Self-Care</t>
  </si>
  <si>
    <t>West Nile</t>
  </si>
  <si>
    <t>Region</t>
  </si>
  <si>
    <t>Communication</t>
  </si>
  <si>
    <t>Table S1 Share of all adults in households with electricity (%) by functional difficulty type</t>
  </si>
  <si>
    <t>Acholi</t>
  </si>
  <si>
    <t>Ankole</t>
  </si>
  <si>
    <t>Bugisu</t>
  </si>
  <si>
    <t>Bukedi</t>
  </si>
  <si>
    <t>Bunyoro</t>
  </si>
  <si>
    <t>Busoga</t>
  </si>
  <si>
    <t>Kampala</t>
  </si>
  <si>
    <t>Karamoja</t>
  </si>
  <si>
    <t>Kigezi</t>
  </si>
  <si>
    <t>Lango</t>
  </si>
  <si>
    <t>North Buganda</t>
  </si>
  <si>
    <t>South Buganda</t>
  </si>
  <si>
    <t>Teso</t>
  </si>
  <si>
    <t>Tooro</t>
  </si>
  <si>
    <t>Seeing</t>
  </si>
  <si>
    <t>Hearing</t>
  </si>
  <si>
    <t>Mobility</t>
  </si>
  <si>
    <t>Cognition</t>
  </si>
  <si>
    <t>Self-Care</t>
  </si>
  <si>
    <t>West Nile</t>
  </si>
  <si>
    <t>Region</t>
  </si>
  <si>
    <t>Communication</t>
  </si>
  <si>
    <t>Table S2 Share of all adults in households with clean cooking fuel (%) by functional difficulty type</t>
  </si>
  <si>
    <t>Acholi</t>
  </si>
  <si>
    <t>Ankole</t>
  </si>
  <si>
    <t>Bugisu</t>
  </si>
  <si>
    <t>Bukedi</t>
  </si>
  <si>
    <t>Bunyoro</t>
  </si>
  <si>
    <t>Busoga</t>
  </si>
  <si>
    <t>Kampala</t>
  </si>
  <si>
    <t>Karamoja</t>
  </si>
  <si>
    <t>Kigezi</t>
  </si>
  <si>
    <t>Lango</t>
  </si>
  <si>
    <t>North Buganda</t>
  </si>
  <si>
    <t>South Buganda</t>
  </si>
  <si>
    <t>Teso</t>
  </si>
  <si>
    <t>Tooro</t>
  </si>
  <si>
    <t>Seeing</t>
  </si>
  <si>
    <t>Hearing</t>
  </si>
  <si>
    <t>Mobility</t>
  </si>
  <si>
    <t>Cognition</t>
  </si>
  <si>
    <t>Self-Care</t>
  </si>
  <si>
    <t>West Nile</t>
  </si>
  <si>
    <t>Region</t>
  </si>
  <si>
    <t>Communication</t>
  </si>
  <si>
    <t>Table S3 Share of all adults in households with adequate housing (%) by functional difficulty type</t>
  </si>
  <si>
    <t>Acholi</t>
  </si>
  <si>
    <t>Ankole</t>
  </si>
  <si>
    <t>Bugisu</t>
  </si>
  <si>
    <t>Bukedi</t>
  </si>
  <si>
    <t>Bunyoro</t>
  </si>
  <si>
    <t>Busoga</t>
  </si>
  <si>
    <t>Kampala</t>
  </si>
  <si>
    <t>Karamoja</t>
  </si>
  <si>
    <t>Kigezi</t>
  </si>
  <si>
    <t>Lango</t>
  </si>
  <si>
    <t>North Buganda</t>
  </si>
  <si>
    <t>South Buganda</t>
  </si>
  <si>
    <t>Teso</t>
  </si>
  <si>
    <t>Tooro</t>
  </si>
  <si>
    <t>Seeing</t>
  </si>
  <si>
    <t>Hearing</t>
  </si>
  <si>
    <t>Mobility</t>
  </si>
  <si>
    <t>Cognition</t>
  </si>
  <si>
    <t>Self-Care</t>
  </si>
  <si>
    <t>West Nile</t>
  </si>
  <si>
    <t>Region</t>
  </si>
  <si>
    <t>Communication</t>
  </si>
  <si>
    <t>Table S4 Share of assets for all adults (%) by functional difficulty type</t>
  </si>
  <si>
    <t>Acholi</t>
  </si>
  <si>
    <t>Ankole</t>
  </si>
  <si>
    <t>Bugisu</t>
  </si>
  <si>
    <t>Bukedi</t>
  </si>
  <si>
    <t>Bunyoro</t>
  </si>
  <si>
    <t>Busoga</t>
  </si>
  <si>
    <t>Kampala</t>
  </si>
  <si>
    <t>Karamoja</t>
  </si>
  <si>
    <t>Kigezi</t>
  </si>
  <si>
    <t>Lango</t>
  </si>
  <si>
    <t>North Buganda</t>
  </si>
  <si>
    <t>South Buganda</t>
  </si>
  <si>
    <t>Teso</t>
  </si>
  <si>
    <t>Tooro</t>
  </si>
  <si>
    <t>Seeing</t>
  </si>
  <si>
    <t>Hearing</t>
  </si>
  <si>
    <t>Mobility</t>
  </si>
  <si>
    <t>Cognition</t>
  </si>
  <si>
    <t>Self-Care</t>
  </si>
  <si>
    <t>West Nile</t>
  </si>
  <si>
    <t>Region</t>
  </si>
  <si>
    <t>Communication</t>
  </si>
  <si>
    <t>Table S5 Adults in households with cell phone for all adults (%)</t>
  </si>
  <si>
    <t>Acholi</t>
  </si>
  <si>
    <t>Ankole</t>
  </si>
  <si>
    <t>Bugisu</t>
  </si>
  <si>
    <t>Bukedi</t>
  </si>
  <si>
    <t>Bunyoro</t>
  </si>
  <si>
    <t>Busoga</t>
  </si>
  <si>
    <t>Kampala</t>
  </si>
  <si>
    <t>Karamoja</t>
  </si>
  <si>
    <t>Kigezi</t>
  </si>
  <si>
    <t>Lango</t>
  </si>
  <si>
    <t>North Buganda</t>
  </si>
  <si>
    <t>South Buganda</t>
  </si>
  <si>
    <t>Teso</t>
  </si>
  <si>
    <t>Tooro</t>
  </si>
  <si>
    <t>Seeing</t>
  </si>
  <si>
    <t>Hearing</t>
  </si>
  <si>
    <t>Mobility</t>
  </si>
  <si>
    <t>Cognition</t>
  </si>
  <si>
    <t>Self-Care</t>
  </si>
  <si>
    <t>West Nile</t>
  </si>
  <si>
    <t>Region</t>
  </si>
  <si>
    <t>Communication</t>
  </si>
  <si>
    <t>Table M1 Multidimensional poverty headcount for all adults (%) by functional difficulty type</t>
  </si>
  <si>
    <t>Acholi</t>
  </si>
  <si>
    <t>Ankole</t>
  </si>
  <si>
    <t>Bugisu</t>
  </si>
  <si>
    <t>Bukedi</t>
  </si>
  <si>
    <t>Bunyoro</t>
  </si>
  <si>
    <t>Busoga</t>
  </si>
  <si>
    <t>Kampala</t>
  </si>
  <si>
    <t>Karamoja</t>
  </si>
  <si>
    <t>Kigezi</t>
  </si>
  <si>
    <t>Lango</t>
  </si>
  <si>
    <t>North Buganda</t>
  </si>
  <si>
    <t>South Buganda</t>
  </si>
  <si>
    <t>Teso</t>
  </si>
  <si>
    <t>Tooro</t>
  </si>
  <si>
    <t>Seeing</t>
  </si>
  <si>
    <t>Hearing</t>
  </si>
  <si>
    <t>Mobility</t>
  </si>
  <si>
    <t>Cognition</t>
  </si>
  <si>
    <t>Self-Care</t>
  </si>
  <si>
    <t>West Nile</t>
  </si>
  <si>
    <t>Region</t>
  </si>
  <si>
    <t>Communication</t>
  </si>
  <si>
    <t>No Difficulty</t>
  </si>
  <si>
    <t>No Difficulty</t>
  </si>
  <si>
    <t>No Difficulty</t>
  </si>
  <si>
    <t>No Difficulty</t>
  </si>
  <si>
    <t>No Difficulty</t>
  </si>
  <si>
    <t>No Difficulty</t>
  </si>
  <si>
    <t>No Difficulty</t>
  </si>
  <si>
    <t>No Difficulty</t>
  </si>
  <si>
    <t>No Difficulty</t>
  </si>
  <si>
    <t>No Difficulty</t>
  </si>
  <si>
    <t>No Difficulty</t>
  </si>
  <si>
    <t>No Difficulty</t>
  </si>
  <si>
    <t>Table E1.6.a Share of all adults age 15 to 44 who have ever attended school (%) (disaggregation a)</t>
  </si>
  <si>
    <t>Table E1.6.b Share of all adults age 15 to 44 who have ever attended school (%) (disaggregation b)</t>
  </si>
  <si>
    <t>Table E1.6.c Share of all adults age 15 to 44 who have ever attended school (%) (disaggregation c)</t>
  </si>
  <si>
    <t>Table M1.6.a Multidimensional poverty headcount for all adults age 15 to 44 (%) (disaggregation a)</t>
  </si>
  <si>
    <t>Table M1.6.b Multidimensional poverty headcount for all adults age 15 to 44 (%) (disaggregation b)</t>
  </si>
  <si>
    <t>Table M1.6.c Multidimensional poverty headcount for all adults age 15 to 44 (%) (disaggregation c)</t>
  </si>
  <si>
    <t>Table S5.6.a Adults in households with cell phone for all adults age 15 to 44 (%)</t>
  </si>
  <si>
    <t>Table S5.6.b Adults in households with cell phone for all adults age 15 to 44 (%)</t>
  </si>
  <si>
    <t>Table S5.6.c Adults in households with cell phone for all adults age 15 to 44 (%)</t>
  </si>
  <si>
    <t>Table S4.6.a Share of assets for all adults age 15 to 44 (%) (disaggregation a)</t>
  </si>
  <si>
    <t>Table S4.6.b Share of assets for all adults age 15 to 44 (%) (disaggregation b)</t>
  </si>
  <si>
    <t>Table S4.6.c Share of assets for all adults age 15 to 44 (%) (disaggregation c)</t>
  </si>
  <si>
    <t>Table S3.6.a Share of all adults age 15 to 44 in households with adequate housing (%) (disaggregation a)</t>
  </si>
  <si>
    <t>Table S3.6.b Share of all adults age 15 to 44 in households with adequate housing (%) (disaggregation b)</t>
  </si>
  <si>
    <t>Table S3.6.c Share of all adults age 15 to 44 in households with adequate housing (%) (disaggregation c)</t>
  </si>
  <si>
    <t>Table S2.6.a Share of all adults age 15 to 44 in households with clean cooking fuel (%) (disaggregation a)</t>
  </si>
  <si>
    <t>Table S2.6.b Share of all adults age 15 to 44 in households with clean cooking fuel (%) (disaggregation b)</t>
  </si>
  <si>
    <t>Table S2.6.c Share of all adults age 15 to 44 in households with clean cooking fuel (%) (disaggregation c)</t>
  </si>
  <si>
    <t>Table S1.6.a Share of all adults age 15 to 44 in households with electricity (%) (disaggregation a)</t>
  </si>
  <si>
    <t>Table S1.6.b Share of all adults age 15 to 44 in households with electricity (%) (disaggregation b)</t>
  </si>
  <si>
    <t>Table S1.6.c Share of all adults age 15 to 44 in households with electricity (%) (disaggregation c)</t>
  </si>
  <si>
    <t>Table H2.6.a Share of all adults age 15 to 44 in households using safely managed sanitation services (%) (disaggregation a)</t>
  </si>
  <si>
    <t>Table H2.6.b Share of all adults age 15 to 44 in households using safely managed sanitation services (%) (disaggregation b)</t>
  </si>
  <si>
    <t>Table H2.6.c Share of all adults age 15 to 44 in households using safely managed sanitation services (%) (disaggregation c)</t>
  </si>
  <si>
    <t>Table H1.6.a Share of all adults age 15 to 44 in households using safely managed drinking water (%) (disaggregation a)</t>
  </si>
  <si>
    <t>Table H1.6.b Share of all adults age 15 to 44 in households using safely managed drinking water (%) (disaggregation b)</t>
  </si>
  <si>
    <t>Table H1.6.c Share of all adults age 15 to 44 in households using safely managed drinking water (%) (disaggregation c)</t>
  </si>
  <si>
    <t>Table E4.6.a Share of all adults age 15 to 44 who have completed secondary school or higher (%) (disaggregation a)</t>
  </si>
  <si>
    <t>Table E4.6.b Share of all adults age 15 to 44 who have completed secondary school or higher (%) (disaggregation b)</t>
  </si>
  <si>
    <t>Table E4.6.c Share of all adults age 15 to 44 who have completed secondary school or higher (%) (disaggregation c)</t>
  </si>
  <si>
    <t>Table E3.6.a Share of all adults age 15 to 44 who have completed primary school (%) (disaggregation a)</t>
  </si>
  <si>
    <t>Table E3.6.b Share of all adults age 15 to 44 who have completed primary school (%) (disaggregation b)</t>
  </si>
  <si>
    <t>Table E3.6.c Share of all adults age 15 to 44 who have completed primary school (%) (disaggregation c)</t>
  </si>
  <si>
    <t>Table E2.6.a Share of all adults age 15 to 44 who have less than primary school completion (%) (disaggregation a)</t>
  </si>
  <si>
    <t>Table E2.6.b Share of all adults age 15 to 44 who have less than primary school completion (%) (disaggregation b)</t>
  </si>
  <si>
    <t>Table E2.6.c Share of all adults age 15 to 44 who have less than primary school completion (%) (disaggregation c)</t>
  </si>
  <si>
    <t>Table E2.7.a Share of all adults age 45 and older who have less than primary school completion (%) (disaggregation a)</t>
  </si>
  <si>
    <t>Table E2.7.b Share of all adults age 45 and older who have less than primary school completion (%) (disaggregation b)</t>
  </si>
  <si>
    <t>Table E2.7.c Share of all adults age 45 and older who have less than primary school completion (%) (disaggregation c)</t>
  </si>
  <si>
    <t>Table E1.7.a Share of all adults age 45 and older who have ever attended school (%) (disaggregation a)</t>
  </si>
  <si>
    <t>Table E1.7.b Share of all adults age 45 and older who have ever attended school (%) (disaggregation b)</t>
  </si>
  <si>
    <t>Table E1.7.c Share of all adults age 45 and older who have ever attended school (%) (disaggregation c)</t>
  </si>
  <si>
    <t>Table M1.7.a Multidimensional poverty headcount for all adults age 45 and older (%) (disaggregation a)</t>
  </si>
  <si>
    <t>Table M1.7.b Multidimensional poverty headcount for all adults age 45 and older (%) (disaggregation b)</t>
  </si>
  <si>
    <t>Table M1.7.c Multidimensional poverty headcount for all adults age 45 and older (%) (disaggregation c)</t>
  </si>
  <si>
    <t>Table S5.7.a Adults in households with cell phone for all adults age 45 and older (%)</t>
  </si>
  <si>
    <t>Table S5.7.b Adults in households with cell phone for all adults age 45 and older (%)</t>
  </si>
  <si>
    <t>Table S5.7.c Adults in households with cell phone for all adults age 45 and older (%)</t>
  </si>
  <si>
    <t>Table S4.7.a Share of assets for all adults age 45 and older (%) (disaggregation a)</t>
  </si>
  <si>
    <t>Table S4.7.b Share of assets for all adults age 45 and older (%) (disaggregation b)</t>
  </si>
  <si>
    <t>Table S4.7.c Share of assets for all adults age 45 and older (%) (disaggregation c)</t>
  </si>
  <si>
    <t>Table S3.7.a Share of all adults age 45 and older in households with adequate housing (%) (disaggregation a)</t>
  </si>
  <si>
    <t>Table S3.7.b Share of all adults age 45 and older in households with adequate housing (%) (disaggregation b)</t>
  </si>
  <si>
    <t>Table S3.7.c Share of all adults age 45 and older in households with adequate housing (%) (disaggregation c)</t>
  </si>
  <si>
    <t>Table S2.7.a Share of all adults age 45 and older in households with clean cooking fuel (%) (disaggregation a)</t>
  </si>
  <si>
    <t>Table S2.7.b Share of all adults age 45 and older in households with clean cooking fuel (%) (disaggregation b)</t>
  </si>
  <si>
    <t>Table S2.7.c Share of all adults age 45 and older in households with clean cooking fuel (%) (disaggregation c)</t>
  </si>
  <si>
    <t>Table S1.7.a Share of all adults age 45 and older in households with electricity (%) (disaggregation a)</t>
  </si>
  <si>
    <t>Table S1.7.b Share of all adults age 45 and older in households with electricity (%) (disaggregation b)</t>
  </si>
  <si>
    <t>Table S1.7.c Share of all adults age 45 and older in households with electricity (%) (disaggregation c)</t>
  </si>
  <si>
    <t>Table H2.7.a Share of all adults age 45 and older in households using safely managed sanitation services (%) (disaggregation a)</t>
  </si>
  <si>
    <t>Table H2.7.b Share of all adults age 45 and older in households using safely managed sanitation services (%) (disaggregation b)</t>
  </si>
  <si>
    <t>Table H2.7.c Share of all adults age 45 and older in households using safely managed sanitation services (%) (disaggregation c)</t>
  </si>
  <si>
    <t>Table H1.7.a Share of all adults age 45 and older in households using safely managed drinking water (%) (disaggregation a)</t>
  </si>
  <si>
    <t>Table H1.7.b Share of all adults age 45 and older in households using safely managed drinking water (%) (disaggregation b)</t>
  </si>
  <si>
    <t>Table H1.7.c Share of all adults age 45 and older in households using safely managed drinking water (%) (disaggregation c)</t>
  </si>
  <si>
    <t>Table E4.7.a Share of all adults age 45 and older who have completed secondary school or higher (%) (disaggregation a)</t>
  </si>
  <si>
    <t>Table E4.7.b Share of all adults age 45 and older who have completed secondary school or higher (%) (disaggregation b)</t>
  </si>
  <si>
    <t>Table E4.7.c Share of all adults age 45 and older who have completed secondary school or higher (%) (disaggregation c)</t>
  </si>
  <si>
    <t>Table E3.7.a Share of all adults age 45 and older who have completed primary school (%) (disaggregation a)</t>
  </si>
  <si>
    <t>Table E3.7.b Share of all adults age 45 and older who have completed primary school (%) (disaggregation b)</t>
  </si>
  <si>
    <t>Table E3.7.c Share of all adults age 45 and older who have completed primary school (%) (disaggregation c)</t>
  </si>
  <si>
    <t>Table P1.1 Share of all adults with functional difficulties (%)</t>
  </si>
  <si>
    <t>Any difficulty</t>
  </si>
  <si>
    <t>Some difficulty</t>
  </si>
  <si>
    <t>At least a lot of difficulty</t>
  </si>
  <si>
    <t>Acholi</t>
  </si>
  <si>
    <t>Ankole</t>
  </si>
  <si>
    <t>Bugisu</t>
  </si>
  <si>
    <t>Bukedi</t>
  </si>
  <si>
    <t>Bunyoro</t>
  </si>
  <si>
    <t>Busoga</t>
  </si>
  <si>
    <t>Kampala</t>
  </si>
  <si>
    <t>Karamoja</t>
  </si>
  <si>
    <t>Kigezi</t>
  </si>
  <si>
    <t>Lango</t>
  </si>
  <si>
    <t>North Buganda</t>
  </si>
  <si>
    <t>South Buganda</t>
  </si>
  <si>
    <t>Teso</t>
  </si>
  <si>
    <t>Tooro</t>
  </si>
  <si>
    <t>West Nile</t>
  </si>
  <si>
    <t>Region</t>
  </si>
  <si>
    <t>Table P1.2 Share of all females with functional difficulties (%)</t>
  </si>
  <si>
    <t>Any difficulty</t>
  </si>
  <si>
    <t>Some difficulty</t>
  </si>
  <si>
    <t>At least a lot of difficulty</t>
  </si>
  <si>
    <t>Acholi</t>
  </si>
  <si>
    <t>Ankole</t>
  </si>
  <si>
    <t>Bugisu</t>
  </si>
  <si>
    <t>Bukedi</t>
  </si>
  <si>
    <t>Bunyoro</t>
  </si>
  <si>
    <t>Busoga</t>
  </si>
  <si>
    <t>Kampala</t>
  </si>
  <si>
    <t>Karamoja</t>
  </si>
  <si>
    <t>Kigezi</t>
  </si>
  <si>
    <t>Lango</t>
  </si>
  <si>
    <t>North Buganda</t>
  </si>
  <si>
    <t>South Buganda</t>
  </si>
  <si>
    <t>Teso</t>
  </si>
  <si>
    <t>Tooro</t>
  </si>
  <si>
    <t>West Nile</t>
  </si>
  <si>
    <t>Region</t>
  </si>
  <si>
    <t>National</t>
  </si>
  <si>
    <t>Table P1.3 Share of all males with functional difficulties (%)</t>
  </si>
  <si>
    <t>Any difficulty</t>
  </si>
  <si>
    <t>Some difficulty</t>
  </si>
  <si>
    <t>At least a lot of difficulty</t>
  </si>
  <si>
    <t>Acholi</t>
  </si>
  <si>
    <t>Ankole</t>
  </si>
  <si>
    <t>Bugisu</t>
  </si>
  <si>
    <t>Bukedi</t>
  </si>
  <si>
    <t>Bunyoro</t>
  </si>
  <si>
    <t>Busoga</t>
  </si>
  <si>
    <t>Kampala</t>
  </si>
  <si>
    <t>Karamoja</t>
  </si>
  <si>
    <t>Kigezi</t>
  </si>
  <si>
    <t>Lango</t>
  </si>
  <si>
    <t>North Buganda</t>
  </si>
  <si>
    <t>South Buganda</t>
  </si>
  <si>
    <t>Teso</t>
  </si>
  <si>
    <t>Tooro</t>
  </si>
  <si>
    <t>West Nile</t>
  </si>
  <si>
    <t>Region</t>
  </si>
  <si>
    <t>National</t>
  </si>
  <si>
    <t>Table P1.4 Share of rural residents with functional difficulties (%)</t>
  </si>
  <si>
    <t>Any difficulty</t>
  </si>
  <si>
    <t>Some difficulty</t>
  </si>
  <si>
    <t>At least a lot of difficulty</t>
  </si>
  <si>
    <t>Acholi</t>
  </si>
  <si>
    <t>Ankole</t>
  </si>
  <si>
    <t>Bugisu</t>
  </si>
  <si>
    <t>Bukedi</t>
  </si>
  <si>
    <t>Bunyoro</t>
  </si>
  <si>
    <t>Busoga</t>
  </si>
  <si>
    <t>Karamoja</t>
  </si>
  <si>
    <t>Kigezi</t>
  </si>
  <si>
    <t>Lango</t>
  </si>
  <si>
    <t>North Buganda</t>
  </si>
  <si>
    <t>South Buganda</t>
  </si>
  <si>
    <t>Teso</t>
  </si>
  <si>
    <t>Tooro</t>
  </si>
  <si>
    <t>West Nile</t>
  </si>
  <si>
    <t>Region</t>
  </si>
  <si>
    <t>National</t>
  </si>
  <si>
    <t>Table P1.5 Share of urban residents with functional difficulties (%)</t>
  </si>
  <si>
    <t>Any difficulty</t>
  </si>
  <si>
    <t>Some difficulty</t>
  </si>
  <si>
    <t>At least a lot of difficulty</t>
  </si>
  <si>
    <t>Acholi</t>
  </si>
  <si>
    <t>Ankole</t>
  </si>
  <si>
    <t>Bugisu</t>
  </si>
  <si>
    <t>Bukedi</t>
  </si>
  <si>
    <t>Bunyoro</t>
  </si>
  <si>
    <t>Busoga</t>
  </si>
  <si>
    <t>Kampala</t>
  </si>
  <si>
    <t>Karamoja</t>
  </si>
  <si>
    <t>Kigezi</t>
  </si>
  <si>
    <t>Lango</t>
  </si>
  <si>
    <t>North Buganda</t>
  </si>
  <si>
    <t>South Buganda</t>
  </si>
  <si>
    <t>Teso</t>
  </si>
  <si>
    <t>Tooro</t>
  </si>
  <si>
    <t>West Nile</t>
  </si>
  <si>
    <t>Region</t>
  </si>
  <si>
    <t>National</t>
  </si>
  <si>
    <t>Table P1.6 Share of adults age 15 to 44 with functional difficulties (%)</t>
  </si>
  <si>
    <t>Any difficulty</t>
  </si>
  <si>
    <t>Some difficulty</t>
  </si>
  <si>
    <t>At least a lot of difficulty</t>
  </si>
  <si>
    <t>Acholi</t>
  </si>
  <si>
    <t>Ankole</t>
  </si>
  <si>
    <t>Bugisu</t>
  </si>
  <si>
    <t>Bukedi</t>
  </si>
  <si>
    <t>Bunyoro</t>
  </si>
  <si>
    <t>Busoga</t>
  </si>
  <si>
    <t>Kampala</t>
  </si>
  <si>
    <t>Karamoja</t>
  </si>
  <si>
    <t>Kigezi</t>
  </si>
  <si>
    <t>Lango</t>
  </si>
  <si>
    <t>North Buganda</t>
  </si>
  <si>
    <t>South Buganda</t>
  </si>
  <si>
    <t>Teso</t>
  </si>
  <si>
    <t>Tooro</t>
  </si>
  <si>
    <t>West Nile</t>
  </si>
  <si>
    <t>Region</t>
  </si>
  <si>
    <t>National</t>
  </si>
  <si>
    <t>Table P1.7 Share of adults age 45 and older with functional difficulties (%)</t>
  </si>
  <si>
    <t>Any difficulty</t>
  </si>
  <si>
    <t>Some difficulty</t>
  </si>
  <si>
    <t>At least a lot of difficulty</t>
  </si>
  <si>
    <t>Acholi</t>
  </si>
  <si>
    <t>Ankole</t>
  </si>
  <si>
    <t>Bugisu</t>
  </si>
  <si>
    <t>Bukedi</t>
  </si>
  <si>
    <t>Bunyoro</t>
  </si>
  <si>
    <t>Busoga</t>
  </si>
  <si>
    <t>Kampala</t>
  </si>
  <si>
    <t>Karamoja</t>
  </si>
  <si>
    <t>Kigezi</t>
  </si>
  <si>
    <t>Lango</t>
  </si>
  <si>
    <t>North Buganda</t>
  </si>
  <si>
    <t>South Buganda</t>
  </si>
  <si>
    <t>Teso</t>
  </si>
  <si>
    <t>Tooro</t>
  </si>
  <si>
    <t>West Nile</t>
  </si>
  <si>
    <t>Region</t>
  </si>
  <si>
    <t>National</t>
  </si>
  <si>
    <t>Table P3.1 Share of all households with functional difficulties (%)</t>
  </si>
  <si>
    <t>Any difficulty</t>
  </si>
  <si>
    <t>Some difficulty</t>
  </si>
  <si>
    <t>At least a lot of difficulty</t>
  </si>
  <si>
    <t>Acholi</t>
  </si>
  <si>
    <t>Ankole</t>
  </si>
  <si>
    <t>Bugisu</t>
  </si>
  <si>
    <t>Bukedi</t>
  </si>
  <si>
    <t>Bunyoro</t>
  </si>
  <si>
    <t>Busoga</t>
  </si>
  <si>
    <t>Kampala</t>
  </si>
  <si>
    <t>Karamoja</t>
  </si>
  <si>
    <t>Kigezi</t>
  </si>
  <si>
    <t>Lango</t>
  </si>
  <si>
    <t>North Buganda</t>
  </si>
  <si>
    <t>South Buganda</t>
  </si>
  <si>
    <t>Teso</t>
  </si>
  <si>
    <t>Tooro</t>
  </si>
  <si>
    <t>West Nile</t>
  </si>
  <si>
    <t>Region</t>
  </si>
  <si>
    <t>Table P3.2 Share of rural households with functional difficulties (%)</t>
  </si>
  <si>
    <t>Any difficulty</t>
  </si>
  <si>
    <t>Some difficulty</t>
  </si>
  <si>
    <t>At least a lot of difficulty</t>
  </si>
  <si>
    <t>Acholi</t>
  </si>
  <si>
    <t>Ankole</t>
  </si>
  <si>
    <t>Bugisu</t>
  </si>
  <si>
    <t>Bukedi</t>
  </si>
  <si>
    <t>Bunyoro</t>
  </si>
  <si>
    <t>Busoga</t>
  </si>
  <si>
    <t>Karamoja</t>
  </si>
  <si>
    <t>Kigezi</t>
  </si>
  <si>
    <t>Lango</t>
  </si>
  <si>
    <t>North Buganda</t>
  </si>
  <si>
    <t>South Buganda</t>
  </si>
  <si>
    <t>Teso</t>
  </si>
  <si>
    <t>Tooro</t>
  </si>
  <si>
    <t>West Nile</t>
  </si>
  <si>
    <t>Region</t>
  </si>
  <si>
    <t>Table P3.3 Share of urban households with functional difficulties (%)</t>
  </si>
  <si>
    <t>Any difficulty</t>
  </si>
  <si>
    <t>Some difficulty</t>
  </si>
  <si>
    <t>At least a lot of difficulty</t>
  </si>
  <si>
    <t>Acholi</t>
  </si>
  <si>
    <t>Ankole</t>
  </si>
  <si>
    <t>Bugisu</t>
  </si>
  <si>
    <t>Bukedi</t>
  </si>
  <si>
    <t>Bunyoro</t>
  </si>
  <si>
    <t>Busoga</t>
  </si>
  <si>
    <t>Kampala</t>
  </si>
  <si>
    <t>Karamoja</t>
  </si>
  <si>
    <t>Kigezi</t>
  </si>
  <si>
    <t>Lango</t>
  </si>
  <si>
    <t>North Buganda</t>
  </si>
  <si>
    <t>South Buganda</t>
  </si>
  <si>
    <t>Teso</t>
  </si>
  <si>
    <t>Tooro</t>
  </si>
  <si>
    <t>West Nile</t>
  </si>
  <si>
    <t>Region</t>
  </si>
  <si>
    <t>Table P2.1 Share of all adults with any functional difficulty by type of functional difficulty (%)</t>
  </si>
  <si>
    <t>Acholi</t>
  </si>
  <si>
    <t>Ankole</t>
  </si>
  <si>
    <t>Bugisu</t>
  </si>
  <si>
    <t>Bukedi</t>
  </si>
  <si>
    <t>Bunyoro</t>
  </si>
  <si>
    <t>Busoga</t>
  </si>
  <si>
    <t>Kampala</t>
  </si>
  <si>
    <t>Karamoja</t>
  </si>
  <si>
    <t>Kigezi</t>
  </si>
  <si>
    <t>Lango</t>
  </si>
  <si>
    <t>North Buganda</t>
  </si>
  <si>
    <t>South Buganda</t>
  </si>
  <si>
    <t>Teso</t>
  </si>
  <si>
    <t>Tooro</t>
  </si>
  <si>
    <t>Seeing</t>
  </si>
  <si>
    <t>Hearing</t>
  </si>
  <si>
    <t>Mobility</t>
  </si>
  <si>
    <t>Cognition</t>
  </si>
  <si>
    <t>Self-Care</t>
  </si>
  <si>
    <t>West Nile</t>
  </si>
  <si>
    <t>Communication</t>
  </si>
  <si>
    <t>Region</t>
  </si>
  <si>
    <t>Table P2.2 Share of all adults with some functional difficulty by type of functional difficulty (%)</t>
  </si>
  <si>
    <t>Acholi</t>
  </si>
  <si>
    <t>Ankole</t>
  </si>
  <si>
    <t>Bugisu</t>
  </si>
  <si>
    <t>Bukedi</t>
  </si>
  <si>
    <t>Bunyoro</t>
  </si>
  <si>
    <t>Busoga</t>
  </si>
  <si>
    <t>Kampala</t>
  </si>
  <si>
    <t>Karamoja</t>
  </si>
  <si>
    <t>Kigezi</t>
  </si>
  <si>
    <t>Lango</t>
  </si>
  <si>
    <t>North Buganda</t>
  </si>
  <si>
    <t>South Buganda</t>
  </si>
  <si>
    <t>Teso</t>
  </si>
  <si>
    <t>Tooro</t>
  </si>
  <si>
    <t>Seeing</t>
  </si>
  <si>
    <t>Hearing</t>
  </si>
  <si>
    <t>Mobility</t>
  </si>
  <si>
    <t>Cognition</t>
  </si>
  <si>
    <t>Self-Care</t>
  </si>
  <si>
    <t>West Nile</t>
  </si>
  <si>
    <t>Communication</t>
  </si>
  <si>
    <t>Region</t>
  </si>
  <si>
    <t>Table P2.3 Share of all adults with at least a lot of functional difficulty by type of functional difficulty (%)</t>
  </si>
  <si>
    <t>Acholi</t>
  </si>
  <si>
    <t>Ankole</t>
  </si>
  <si>
    <t>Bugisu</t>
  </si>
  <si>
    <t>Bukedi</t>
  </si>
  <si>
    <t>Bunyoro</t>
  </si>
  <si>
    <t>Busoga</t>
  </si>
  <si>
    <t>Kampala</t>
  </si>
  <si>
    <t>Karamoja</t>
  </si>
  <si>
    <t>Kigezi</t>
  </si>
  <si>
    <t>Lango</t>
  </si>
  <si>
    <t>North Buganda</t>
  </si>
  <si>
    <t>South Buganda</t>
  </si>
  <si>
    <t>Teso</t>
  </si>
  <si>
    <t>Tooro</t>
  </si>
  <si>
    <t>Seeing</t>
  </si>
  <si>
    <t>Hearing</t>
  </si>
  <si>
    <t>Mobility</t>
  </si>
  <si>
    <t>Cognition</t>
  </si>
  <si>
    <t>Self-Care</t>
  </si>
  <si>
    <t>Communication</t>
  </si>
  <si>
    <t>Region</t>
  </si>
  <si>
    <t>N/A</t>
  </si>
  <si>
    <t>Source: Estimates are the results of calculations by contributors to the report based on Demographic and Health Survey data.</t>
  </si>
  <si>
    <t>Suggested citation: Hanass-Hancock, J., Murthy GVS., Palmer, M., Pinilla-Roncancio M.,  Rivas Velarde M., Mitra, S. (2023). The Disability Data Report. Disability Data Initiative. Fordham Research Consortium on Disability: New York.</t>
  </si>
  <si>
    <t>Each of the following sheets presents results for an indicator if the particular indicator is available in the dataset under study (see Method Brief 2 on indicators or Table 4.1 of the main text of the report and copied below).</t>
  </si>
  <si>
    <t>In each sheet, tables are numbered as follows: Capital letter for the topic (e.g. E for education); indicator number; a number indicating the population group under consideration; a letter referring to the disaggregation method (a, b, or c).</t>
  </si>
  <si>
    <t>Population groups under consideration at the individual level are: 1 Adults 2 Females 3 Males 4 Rural residents 5 Urban residents 6 Ages 15 to 44 7 Ages 45 +; For some indicators, results are given for the entire population but not for selected subgroups due to too few sample observations for subgroups, which is noted as 'N/A' in the table. For household level indicators, disaggregations are at the rural and urban levels only.</t>
  </si>
  <si>
    <t>In each sheet, results are presented for three ways of disaggregating described by functional difficulty status in Methods brief 1 : a Any difficulty vs No difficulty; b  No difficulty vs Some difficulty vs At least  lot of difficulty; c At least a lot of  difficulty vs No and some difficulty</t>
  </si>
  <si>
    <t xml:space="preserve">Each table also presents the estimated indicator for each disaggregated group based on functional status followed by the difference between indicators for the different groups under each disaggregation method and its statistical significance. *, **, *** indicate that the difference is statistically significant at the 10%, 5% and 1% levels respectively. NS stands for not significant
</t>
  </si>
  <si>
    <t>Indicators are defined in Methods brief 2 and are numbered as described in Table 4.1 (pasted below).</t>
  </si>
  <si>
    <t>Table 4.1: Indicators under study</t>
  </si>
  <si>
    <t xml:space="preserve">Indicator </t>
  </si>
  <si>
    <t>CRPD Article</t>
  </si>
  <si>
    <t>SDG indicator</t>
  </si>
  <si>
    <t>Indicator reference in results tables</t>
  </si>
  <si>
    <t>Prevalence</t>
  </si>
  <si>
    <t xml:space="preserve">Adults with functional difficulties </t>
  </si>
  <si>
    <t>P1</t>
  </si>
  <si>
    <t>Adults with functional difficulties  by type of functional difficulty</t>
  </si>
  <si>
    <t>P2</t>
  </si>
  <si>
    <t xml:space="preserve">Households with functional difficulties </t>
  </si>
  <si>
    <t>P3</t>
  </si>
  <si>
    <t>Education</t>
  </si>
  <si>
    <t>Adults who have ever attended school</t>
  </si>
  <si>
    <t>E1</t>
  </si>
  <si>
    <t>Adults who have less than primary school completion</t>
  </si>
  <si>
    <t>E2</t>
  </si>
  <si>
    <t>Adults who have completed primary school</t>
  </si>
  <si>
    <t>E3</t>
  </si>
  <si>
    <t>Adults who have completed secondary  school or higher</t>
  </si>
  <si>
    <t>E4</t>
  </si>
  <si>
    <t>Adults who can read and write in any language</t>
  </si>
  <si>
    <t>4.6.1</t>
  </si>
  <si>
    <t>E5</t>
  </si>
  <si>
    <t>Personal activities</t>
  </si>
  <si>
    <t xml:space="preserve">Employment population ratio </t>
  </si>
  <si>
    <t>W1</t>
  </si>
  <si>
    <t>Youth idle rate (NEET)</t>
  </si>
  <si>
    <t>8.6.1</t>
  </si>
  <si>
    <t>W2</t>
  </si>
  <si>
    <t>Working individuals in manufacturing</t>
  </si>
  <si>
    <t>9.2.2</t>
  </si>
  <si>
    <t>W3</t>
  </si>
  <si>
    <t>Women in managerial positions</t>
  </si>
  <si>
    <t>5.5.2</t>
  </si>
  <si>
    <t>W4</t>
  </si>
  <si>
    <t>Working individuals in informal work</t>
  </si>
  <si>
    <t>8.3.1</t>
  </si>
  <si>
    <t>W5</t>
  </si>
  <si>
    <t>Adults who used a computer recently</t>
  </si>
  <si>
    <t>PA2</t>
  </si>
  <si>
    <t>Adults who used the internet recently</t>
  </si>
  <si>
    <t>PA3</t>
  </si>
  <si>
    <t>Adults who own a mobile phone</t>
  </si>
  <si>
    <t>5.b.1</t>
  </si>
  <si>
    <t>PA4</t>
  </si>
  <si>
    <t>Health</t>
  </si>
  <si>
    <t>Adults in households using safely managed drinking water</t>
  </si>
  <si>
    <t>6.1.1</t>
  </si>
  <si>
    <t>H1</t>
  </si>
  <si>
    <t>Adults in households using safely managed sanitation services</t>
  </si>
  <si>
    <t>6.2.1</t>
  </si>
  <si>
    <t>H2</t>
  </si>
  <si>
    <t xml:space="preserve">Standard of living </t>
  </si>
  <si>
    <t>Adults in households with electricity</t>
  </si>
  <si>
    <t>7.1.1</t>
  </si>
  <si>
    <t>S1</t>
  </si>
  <si>
    <t>Adults in households with clean cooking fuel</t>
  </si>
  <si>
    <t>7.1.2</t>
  </si>
  <si>
    <t>S2</t>
  </si>
  <si>
    <t>Adults in households with adequate housing</t>
  </si>
  <si>
    <t>S3</t>
  </si>
  <si>
    <t>Percentage of assets owned by individual's household</t>
  </si>
  <si>
    <t>S4</t>
  </si>
  <si>
    <t>Adults in households with a mobile phone</t>
  </si>
  <si>
    <t>S5</t>
  </si>
  <si>
    <t>Multidimensional analysis</t>
  </si>
  <si>
    <t>Adults who experience multidimensional poverty, i.e. deprivations in more than one dimension of wellbeing (education, health, work, standard of living)</t>
  </si>
  <si>
    <t>24, 25, 27, 28</t>
  </si>
  <si>
    <t>M1</t>
  </si>
  <si>
    <t>This file has results for Uganda at the national and at the regional level.</t>
  </si>
  <si>
    <t>Notes: Relevant SDG indicators are listed. The SDG indicators may be different from the indicators measured in this report. For instance, indicator 8.3.1 measures Proportion of informal employment in National employment while this report measures the proportion of workers doing informal work. All indicators are proportions except the one on assets.  Indicator reference numbers follow those in the 2021 and the 2022 Disability Data Reports (PA1 was skipped due to a lack of data on exposure to mass media.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</si>
</sst>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244" x14ac:knownFonts="1">
    <font>
      <sz val="11"/>
      <name val="Calibri"/>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2"/>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Arial"/>
      <family val="2"/>
    </font>
    <font>
      <sz val="12"/>
      <color theme="3"/>
      <name val="Calibri"/>
      <family val="2"/>
      <scheme val="minor"/>
    </font>
    <font>
      <b/>
      <sz val="12"/>
      <color theme="0"/>
      <name val="Calibri"/>
      <family val="2"/>
      <scheme val="minor"/>
    </font>
    <font>
      <sz val="11"/>
      <color theme="0"/>
      <name val="Calibri"/>
      <family val="2"/>
      <scheme val="minor"/>
    </font>
  </fonts>
  <fills count="3">
    <fill>
      <patternFill patternType="none"/>
    </fill>
    <fill>
      <patternFill patternType="gray125"/>
    </fill>
    <fill>
      <patternFill patternType="solid">
        <fgColor theme="4" tint="0.79998168889431442"/>
        <bgColor theme="4" tint="0.79998168889431442"/>
      </patternFill>
    </fill>
  </fills>
  <borders count="6625">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theme="4" tint="0.39997558519241921"/>
      </top>
      <bottom style="thin">
        <color theme="4" tint="0.39997558519241921"/>
      </bottom>
      <diagonal/>
    </border>
    <border>
      <left/>
      <right/>
      <top style="thin">
        <color theme="4" tint="0.39997558519241921"/>
      </top>
      <bottom/>
      <diagonal/>
    </border>
    <border>
      <left/>
      <right/>
      <top/>
      <bottom style="thin">
        <color rgb="FF000000"/>
      </bottom>
      <diagonal/>
    </border>
    <border>
      <left/>
      <right/>
      <top/>
      <bottom style="thin">
        <color indexed="64"/>
      </bottom>
      <diagonal/>
    </border>
  </borders>
  <cellStyleXfs count="1">
    <xf numFmtId="0" fontId="0" fillId="0" borderId="0"/>
  </cellStyleXfs>
  <cellXfs count="6655">
    <xf numFmtId="0" fontId="0" fillId="0" borderId="0" xfId="0"/>
    <xf numFmtId="0" fontId="5785" fillId="0" borderId="0" xfId="0" applyFont="1"/>
    <xf numFmtId="0" fontId="5786" fillId="0" borderId="0" xfId="0" applyFont="1"/>
    <xf numFmtId="164" fontId="0" fillId="0" borderId="0" xfId="0" applyNumberFormat="1"/>
    <xf numFmtId="164" fontId="0" fillId="0" borderId="0" xfId="0" applyNumberFormat="1" applyAlignment="1">
      <alignment horizontal="right"/>
    </xf>
    <xf numFmtId="164" fontId="5787" fillId="0" borderId="6129" xfId="0" applyNumberFormat="1" applyFont="1" applyBorder="1" applyAlignment="1">
      <alignment horizontal="right"/>
    </xf>
    <xf numFmtId="164" fontId="5802" fillId="0" borderId="6144" xfId="0" applyNumberFormat="1" applyFont="1" applyBorder="1" applyAlignment="1">
      <alignment horizontal="right"/>
    </xf>
    <xf numFmtId="164" fontId="5817" fillId="0" borderId="6159" xfId="0" applyNumberFormat="1" applyFont="1" applyBorder="1" applyAlignment="1">
      <alignment horizontal="right"/>
    </xf>
    <xf numFmtId="164" fontId="5788" fillId="0" borderId="6130" xfId="0" applyNumberFormat="1" applyFont="1" applyBorder="1" applyAlignment="1">
      <alignment horizontal="right"/>
    </xf>
    <xf numFmtId="164" fontId="5803" fillId="0" borderId="6145" xfId="0" applyNumberFormat="1" applyFont="1" applyBorder="1" applyAlignment="1">
      <alignment horizontal="right"/>
    </xf>
    <xf numFmtId="164" fontId="5818" fillId="0" borderId="6160" xfId="0" applyNumberFormat="1" applyFont="1" applyBorder="1" applyAlignment="1">
      <alignment horizontal="right"/>
    </xf>
    <xf numFmtId="164" fontId="5789" fillId="0" borderId="6131" xfId="0" applyNumberFormat="1" applyFont="1" applyBorder="1" applyAlignment="1">
      <alignment horizontal="right"/>
    </xf>
    <xf numFmtId="164" fontId="5804" fillId="0" borderId="6146" xfId="0" applyNumberFormat="1" applyFont="1" applyBorder="1" applyAlignment="1">
      <alignment horizontal="right"/>
    </xf>
    <xf numFmtId="164" fontId="5819" fillId="0" borderId="6161" xfId="0" applyNumberFormat="1" applyFont="1" applyBorder="1" applyAlignment="1">
      <alignment horizontal="right"/>
    </xf>
    <xf numFmtId="164" fontId="5790" fillId="0" borderId="6132" xfId="0" applyNumberFormat="1" applyFont="1" applyBorder="1" applyAlignment="1">
      <alignment horizontal="right"/>
    </xf>
    <xf numFmtId="164" fontId="5805" fillId="0" borderId="6147" xfId="0" applyNumberFormat="1" applyFont="1" applyBorder="1" applyAlignment="1">
      <alignment horizontal="right"/>
    </xf>
    <xf numFmtId="164" fontId="5820" fillId="0" borderId="6162" xfId="0" applyNumberFormat="1" applyFont="1" applyBorder="1" applyAlignment="1">
      <alignment horizontal="right"/>
    </xf>
    <xf numFmtId="164" fontId="5791" fillId="0" borderId="6133" xfId="0" applyNumberFormat="1" applyFont="1" applyBorder="1" applyAlignment="1">
      <alignment horizontal="right"/>
    </xf>
    <xf numFmtId="164" fontId="5806" fillId="0" borderId="6148" xfId="0" applyNumberFormat="1" applyFont="1" applyBorder="1" applyAlignment="1">
      <alignment horizontal="right"/>
    </xf>
    <xf numFmtId="164" fontId="5821" fillId="0" borderId="6163" xfId="0" applyNumberFormat="1" applyFont="1" applyBorder="1" applyAlignment="1">
      <alignment horizontal="right"/>
    </xf>
    <xf numFmtId="164" fontId="5792" fillId="0" borderId="6134" xfId="0" applyNumberFormat="1" applyFont="1" applyBorder="1" applyAlignment="1">
      <alignment horizontal="right"/>
    </xf>
    <xf numFmtId="164" fontId="5807" fillId="0" borderId="6149" xfId="0" applyNumberFormat="1" applyFont="1" applyBorder="1" applyAlignment="1">
      <alignment horizontal="right"/>
    </xf>
    <xf numFmtId="164" fontId="5822" fillId="0" borderId="6164" xfId="0" applyNumberFormat="1" applyFont="1" applyBorder="1" applyAlignment="1">
      <alignment horizontal="right"/>
    </xf>
    <xf numFmtId="164" fontId="5793" fillId="0" borderId="6135" xfId="0" applyNumberFormat="1" applyFont="1" applyBorder="1" applyAlignment="1">
      <alignment horizontal="right"/>
    </xf>
    <xf numFmtId="164" fontId="5808" fillId="0" borderId="6150" xfId="0" applyNumberFormat="1" applyFont="1" applyBorder="1" applyAlignment="1">
      <alignment horizontal="right"/>
    </xf>
    <xf numFmtId="164" fontId="5823" fillId="0" borderId="6165" xfId="0" applyNumberFormat="1" applyFont="1" applyBorder="1" applyAlignment="1">
      <alignment horizontal="right"/>
    </xf>
    <xf numFmtId="164" fontId="5794" fillId="0" borderId="6136" xfId="0" applyNumberFormat="1" applyFont="1" applyBorder="1" applyAlignment="1">
      <alignment horizontal="right"/>
    </xf>
    <xf numFmtId="164" fontId="5809" fillId="0" borderId="6151" xfId="0" applyNumberFormat="1" applyFont="1" applyBorder="1" applyAlignment="1">
      <alignment horizontal="right"/>
    </xf>
    <xf numFmtId="164" fontId="5824" fillId="0" borderId="6166" xfId="0" applyNumberFormat="1" applyFont="1" applyBorder="1" applyAlignment="1">
      <alignment horizontal="right"/>
    </xf>
    <xf numFmtId="164" fontId="5795" fillId="0" borderId="6137" xfId="0" applyNumberFormat="1" applyFont="1" applyBorder="1" applyAlignment="1">
      <alignment horizontal="right"/>
    </xf>
    <xf numFmtId="164" fontId="5810" fillId="0" borderId="6152" xfId="0" applyNumberFormat="1" applyFont="1" applyBorder="1" applyAlignment="1">
      <alignment horizontal="right"/>
    </xf>
    <xf numFmtId="164" fontId="5825" fillId="0" borderId="6167" xfId="0" applyNumberFormat="1" applyFont="1" applyBorder="1" applyAlignment="1">
      <alignment horizontal="right"/>
    </xf>
    <xf numFmtId="164" fontId="5796" fillId="0" borderId="6138" xfId="0" applyNumberFormat="1" applyFont="1" applyBorder="1" applyAlignment="1">
      <alignment horizontal="right"/>
    </xf>
    <xf numFmtId="164" fontId="5811" fillId="0" borderId="6153" xfId="0" applyNumberFormat="1" applyFont="1" applyBorder="1" applyAlignment="1">
      <alignment horizontal="right"/>
    </xf>
    <xf numFmtId="164" fontId="5826" fillId="0" borderId="6168" xfId="0" applyNumberFormat="1" applyFont="1" applyBorder="1" applyAlignment="1">
      <alignment horizontal="right"/>
    </xf>
    <xf numFmtId="164" fontId="5797" fillId="0" borderId="6139" xfId="0" applyNumberFormat="1" applyFont="1" applyBorder="1" applyAlignment="1">
      <alignment horizontal="right"/>
    </xf>
    <xf numFmtId="164" fontId="5812" fillId="0" borderId="6154" xfId="0" applyNumberFormat="1" applyFont="1" applyBorder="1" applyAlignment="1">
      <alignment horizontal="right"/>
    </xf>
    <xf numFmtId="164" fontId="5827" fillId="0" borderId="6169" xfId="0" applyNumberFormat="1" applyFont="1" applyBorder="1" applyAlignment="1">
      <alignment horizontal="right"/>
    </xf>
    <xf numFmtId="164" fontId="5798" fillId="0" borderId="6140" xfId="0" applyNumberFormat="1" applyFont="1" applyBorder="1" applyAlignment="1">
      <alignment horizontal="right"/>
    </xf>
    <xf numFmtId="164" fontId="5813" fillId="0" borderId="6155" xfId="0" applyNumberFormat="1" applyFont="1" applyBorder="1" applyAlignment="1">
      <alignment horizontal="right"/>
    </xf>
    <xf numFmtId="164" fontId="5828" fillId="0" borderId="6170" xfId="0" applyNumberFormat="1" applyFont="1" applyBorder="1" applyAlignment="1">
      <alignment horizontal="right"/>
    </xf>
    <xf numFmtId="164" fontId="5799" fillId="0" borderId="6141" xfId="0" applyNumberFormat="1" applyFont="1" applyBorder="1" applyAlignment="1">
      <alignment horizontal="right"/>
    </xf>
    <xf numFmtId="164" fontId="5814" fillId="0" borderId="6156" xfId="0" applyNumberFormat="1" applyFont="1" applyBorder="1" applyAlignment="1">
      <alignment horizontal="right"/>
    </xf>
    <xf numFmtId="164" fontId="5829" fillId="0" borderId="6171" xfId="0" applyNumberFormat="1" applyFont="1" applyBorder="1" applyAlignment="1">
      <alignment horizontal="right"/>
    </xf>
    <xf numFmtId="164" fontId="5800" fillId="0" borderId="6142" xfId="0" applyNumberFormat="1" applyFont="1" applyBorder="1" applyAlignment="1">
      <alignment horizontal="right"/>
    </xf>
    <xf numFmtId="164" fontId="5815" fillId="0" borderId="6157" xfId="0" applyNumberFormat="1" applyFont="1" applyBorder="1" applyAlignment="1">
      <alignment horizontal="right"/>
    </xf>
    <xf numFmtId="164" fontId="5830" fillId="0" borderId="6172" xfId="0" applyNumberFormat="1" applyFont="1" applyBorder="1" applyAlignment="1">
      <alignment horizontal="right"/>
    </xf>
    <xf numFmtId="164" fontId="5801" fillId="0" borderId="6143" xfId="0" applyNumberFormat="1" applyFont="1" applyBorder="1" applyAlignment="1">
      <alignment horizontal="right"/>
    </xf>
    <xf numFmtId="164" fontId="5816" fillId="0" borderId="6158" xfId="0" applyNumberFormat="1" applyFont="1" applyBorder="1" applyAlignment="1">
      <alignment horizontal="right"/>
    </xf>
    <xf numFmtId="164" fontId="5831" fillId="0" borderId="6173" xfId="0" applyNumberFormat="1" applyFont="1" applyBorder="1" applyAlignment="1">
      <alignment horizontal="right"/>
    </xf>
    <xf numFmtId="164" fontId="5836" fillId="0" borderId="6178" xfId="0" applyNumberFormat="1" applyFont="1" applyBorder="1" applyAlignment="1">
      <alignment horizontal="right"/>
    </xf>
    <xf numFmtId="164" fontId="5851" fillId="0" borderId="6193" xfId="0" applyNumberFormat="1" applyFont="1" applyBorder="1" applyAlignment="1">
      <alignment horizontal="right"/>
    </xf>
    <xf numFmtId="164" fontId="5866" fillId="0" borderId="6208" xfId="0" applyNumberFormat="1" applyFont="1" applyBorder="1" applyAlignment="1">
      <alignment horizontal="right"/>
    </xf>
    <xf numFmtId="164" fontId="5837" fillId="0" borderId="6179" xfId="0" applyNumberFormat="1" applyFont="1" applyBorder="1" applyAlignment="1">
      <alignment horizontal="right"/>
    </xf>
    <xf numFmtId="164" fontId="5852" fillId="0" borderId="6194" xfId="0" applyNumberFormat="1" applyFont="1" applyBorder="1" applyAlignment="1">
      <alignment horizontal="right"/>
    </xf>
    <xf numFmtId="164" fontId="5867" fillId="0" borderId="6209" xfId="0" applyNumberFormat="1" applyFont="1" applyBorder="1" applyAlignment="1">
      <alignment horizontal="right"/>
    </xf>
    <xf numFmtId="164" fontId="5838" fillId="0" borderId="6180" xfId="0" applyNumberFormat="1" applyFont="1" applyBorder="1" applyAlignment="1">
      <alignment horizontal="right"/>
    </xf>
    <xf numFmtId="164" fontId="5853" fillId="0" borderId="6195" xfId="0" applyNumberFormat="1" applyFont="1" applyBorder="1" applyAlignment="1">
      <alignment horizontal="right"/>
    </xf>
    <xf numFmtId="164" fontId="5868" fillId="0" borderId="6210" xfId="0" applyNumberFormat="1" applyFont="1" applyBorder="1" applyAlignment="1">
      <alignment horizontal="right"/>
    </xf>
    <xf numFmtId="164" fontId="5839" fillId="0" borderId="6181" xfId="0" applyNumberFormat="1" applyFont="1" applyBorder="1" applyAlignment="1">
      <alignment horizontal="right"/>
    </xf>
    <xf numFmtId="164" fontId="5854" fillId="0" borderId="6196" xfId="0" applyNumberFormat="1" applyFont="1" applyBorder="1" applyAlignment="1">
      <alignment horizontal="right"/>
    </xf>
    <xf numFmtId="164" fontId="5869" fillId="0" borderId="6211" xfId="0" applyNumberFormat="1" applyFont="1" applyBorder="1" applyAlignment="1">
      <alignment horizontal="right"/>
    </xf>
    <xf numFmtId="164" fontId="5840" fillId="0" borderId="6182" xfId="0" applyNumberFormat="1" applyFont="1" applyBorder="1" applyAlignment="1">
      <alignment horizontal="right"/>
    </xf>
    <xf numFmtId="164" fontId="5855" fillId="0" borderId="6197" xfId="0" applyNumberFormat="1" applyFont="1" applyBorder="1" applyAlignment="1">
      <alignment horizontal="right"/>
    </xf>
    <xf numFmtId="164" fontId="5870" fillId="0" borderId="6212" xfId="0" applyNumberFormat="1" applyFont="1" applyBorder="1" applyAlignment="1">
      <alignment horizontal="right"/>
    </xf>
    <xf numFmtId="164" fontId="5841" fillId="0" borderId="6183" xfId="0" applyNumberFormat="1" applyFont="1" applyBorder="1" applyAlignment="1">
      <alignment horizontal="right"/>
    </xf>
    <xf numFmtId="164" fontId="5856" fillId="0" borderId="6198" xfId="0" applyNumberFormat="1" applyFont="1" applyBorder="1" applyAlignment="1">
      <alignment horizontal="right"/>
    </xf>
    <xf numFmtId="164" fontId="5871" fillId="0" borderId="6213" xfId="0" applyNumberFormat="1" applyFont="1" applyBorder="1" applyAlignment="1">
      <alignment horizontal="right"/>
    </xf>
    <xf numFmtId="164" fontId="5842" fillId="0" borderId="6184" xfId="0" applyNumberFormat="1" applyFont="1" applyBorder="1" applyAlignment="1">
      <alignment horizontal="right"/>
    </xf>
    <xf numFmtId="164" fontId="5857" fillId="0" borderId="6199" xfId="0" applyNumberFormat="1" applyFont="1" applyBorder="1" applyAlignment="1">
      <alignment horizontal="right"/>
    </xf>
    <xf numFmtId="164" fontId="5872" fillId="0" borderId="6214" xfId="0" applyNumberFormat="1" applyFont="1" applyBorder="1" applyAlignment="1">
      <alignment horizontal="right"/>
    </xf>
    <xf numFmtId="164" fontId="5843" fillId="0" borderId="6185" xfId="0" applyNumberFormat="1" applyFont="1" applyBorder="1" applyAlignment="1">
      <alignment horizontal="right"/>
    </xf>
    <xf numFmtId="164" fontId="5858" fillId="0" borderId="6200" xfId="0" applyNumberFormat="1" applyFont="1" applyBorder="1" applyAlignment="1">
      <alignment horizontal="right"/>
    </xf>
    <xf numFmtId="164" fontId="5873" fillId="0" borderId="6215" xfId="0" applyNumberFormat="1" applyFont="1" applyBorder="1" applyAlignment="1">
      <alignment horizontal="right"/>
    </xf>
    <xf numFmtId="164" fontId="5844" fillId="0" borderId="6186" xfId="0" applyNumberFormat="1" applyFont="1" applyBorder="1" applyAlignment="1">
      <alignment horizontal="right"/>
    </xf>
    <xf numFmtId="164" fontId="5859" fillId="0" borderId="6201" xfId="0" applyNumberFormat="1" applyFont="1" applyBorder="1" applyAlignment="1">
      <alignment horizontal="right"/>
    </xf>
    <xf numFmtId="164" fontId="5874" fillId="0" borderId="6216" xfId="0" applyNumberFormat="1" applyFont="1" applyBorder="1" applyAlignment="1">
      <alignment horizontal="right"/>
    </xf>
    <xf numFmtId="164" fontId="5845" fillId="0" borderId="6187" xfId="0" applyNumberFormat="1" applyFont="1" applyBorder="1" applyAlignment="1">
      <alignment horizontal="right"/>
    </xf>
    <xf numFmtId="164" fontId="5860" fillId="0" borderId="6202" xfId="0" applyNumberFormat="1" applyFont="1" applyBorder="1" applyAlignment="1">
      <alignment horizontal="right"/>
    </xf>
    <xf numFmtId="164" fontId="5875" fillId="0" borderId="6217" xfId="0" applyNumberFormat="1" applyFont="1" applyBorder="1" applyAlignment="1">
      <alignment horizontal="right"/>
    </xf>
    <xf numFmtId="164" fontId="5846" fillId="0" borderId="6188" xfId="0" applyNumberFormat="1" applyFont="1" applyBorder="1" applyAlignment="1">
      <alignment horizontal="right"/>
    </xf>
    <xf numFmtId="164" fontId="5861" fillId="0" borderId="6203" xfId="0" applyNumberFormat="1" applyFont="1" applyBorder="1" applyAlignment="1">
      <alignment horizontal="right"/>
    </xf>
    <xf numFmtId="164" fontId="5876" fillId="0" borderId="6218" xfId="0" applyNumberFormat="1" applyFont="1" applyBorder="1" applyAlignment="1">
      <alignment horizontal="right"/>
    </xf>
    <xf numFmtId="164" fontId="5847" fillId="0" borderId="6189" xfId="0" applyNumberFormat="1" applyFont="1" applyBorder="1" applyAlignment="1">
      <alignment horizontal="right"/>
    </xf>
    <xf numFmtId="164" fontId="5862" fillId="0" borderId="6204" xfId="0" applyNumberFormat="1" applyFont="1" applyBorder="1" applyAlignment="1">
      <alignment horizontal="right"/>
    </xf>
    <xf numFmtId="164" fontId="5877" fillId="0" borderId="6219" xfId="0" applyNumberFormat="1" applyFont="1" applyBorder="1" applyAlignment="1">
      <alignment horizontal="right"/>
    </xf>
    <xf numFmtId="164" fontId="5848" fillId="0" borderId="6190" xfId="0" applyNumberFormat="1" applyFont="1" applyBorder="1" applyAlignment="1">
      <alignment horizontal="right"/>
    </xf>
    <xf numFmtId="164" fontId="5863" fillId="0" borderId="6205" xfId="0" applyNumberFormat="1" applyFont="1" applyBorder="1" applyAlignment="1">
      <alignment horizontal="right"/>
    </xf>
    <xf numFmtId="164" fontId="5878" fillId="0" borderId="6220" xfId="0" applyNumberFormat="1" applyFont="1" applyBorder="1" applyAlignment="1">
      <alignment horizontal="right"/>
    </xf>
    <xf numFmtId="164" fontId="5849" fillId="0" borderId="6191" xfId="0" applyNumberFormat="1" applyFont="1" applyBorder="1" applyAlignment="1">
      <alignment horizontal="right"/>
    </xf>
    <xf numFmtId="164" fontId="5864" fillId="0" borderId="6206" xfId="0" applyNumberFormat="1" applyFont="1" applyBorder="1" applyAlignment="1">
      <alignment horizontal="right"/>
    </xf>
    <xf numFmtId="164" fontId="5879" fillId="0" borderId="6221" xfId="0" applyNumberFormat="1" applyFont="1" applyBorder="1" applyAlignment="1">
      <alignment horizontal="right"/>
    </xf>
    <xf numFmtId="164" fontId="5850" fillId="0" borderId="6192" xfId="0" applyNumberFormat="1" applyFont="1" applyBorder="1" applyAlignment="1">
      <alignment horizontal="right"/>
    </xf>
    <xf numFmtId="164" fontId="5865" fillId="0" borderId="6207" xfId="0" applyNumberFormat="1" applyFont="1" applyBorder="1" applyAlignment="1">
      <alignment horizontal="right"/>
    </xf>
    <xf numFmtId="164" fontId="5880" fillId="0" borderId="6222" xfId="0" applyNumberFormat="1" applyFont="1" applyBorder="1" applyAlignment="1">
      <alignment horizontal="right"/>
    </xf>
    <xf numFmtId="164" fontId="5885" fillId="0" borderId="6227" xfId="0" applyNumberFormat="1" applyFont="1" applyBorder="1" applyAlignment="1">
      <alignment horizontal="right"/>
    </xf>
    <xf numFmtId="164" fontId="5900" fillId="0" borderId="6242" xfId="0" applyNumberFormat="1" applyFont="1" applyBorder="1" applyAlignment="1">
      <alignment horizontal="right"/>
    </xf>
    <xf numFmtId="164" fontId="5915" fillId="0" borderId="6257" xfId="0" applyNumberFormat="1" applyFont="1" applyBorder="1" applyAlignment="1">
      <alignment horizontal="right"/>
    </xf>
    <xf numFmtId="164" fontId="5886" fillId="0" borderId="6228" xfId="0" applyNumberFormat="1" applyFont="1" applyBorder="1" applyAlignment="1">
      <alignment horizontal="right"/>
    </xf>
    <xf numFmtId="164" fontId="5901" fillId="0" borderId="6243" xfId="0" applyNumberFormat="1" applyFont="1" applyBorder="1" applyAlignment="1">
      <alignment horizontal="right"/>
    </xf>
    <xf numFmtId="164" fontId="5916" fillId="0" borderId="6258" xfId="0" applyNumberFormat="1" applyFont="1" applyBorder="1" applyAlignment="1">
      <alignment horizontal="right"/>
    </xf>
    <xf numFmtId="164" fontId="5887" fillId="0" borderId="6229" xfId="0" applyNumberFormat="1" applyFont="1" applyBorder="1" applyAlignment="1">
      <alignment horizontal="right"/>
    </xf>
    <xf numFmtId="164" fontId="5902" fillId="0" borderId="6244" xfId="0" applyNumberFormat="1" applyFont="1" applyBorder="1" applyAlignment="1">
      <alignment horizontal="right"/>
    </xf>
    <xf numFmtId="164" fontId="5917" fillId="0" borderId="6259" xfId="0" applyNumberFormat="1" applyFont="1" applyBorder="1" applyAlignment="1">
      <alignment horizontal="right"/>
    </xf>
    <xf numFmtId="164" fontId="5888" fillId="0" borderId="6230" xfId="0" applyNumberFormat="1" applyFont="1" applyBorder="1" applyAlignment="1">
      <alignment horizontal="right"/>
    </xf>
    <xf numFmtId="164" fontId="5903" fillId="0" borderId="6245" xfId="0" applyNumberFormat="1" applyFont="1" applyBorder="1" applyAlignment="1">
      <alignment horizontal="right"/>
    </xf>
    <xf numFmtId="164" fontId="5918" fillId="0" borderId="6260" xfId="0" applyNumberFormat="1" applyFont="1" applyBorder="1" applyAlignment="1">
      <alignment horizontal="right"/>
    </xf>
    <xf numFmtId="164" fontId="5889" fillId="0" borderId="6231" xfId="0" applyNumberFormat="1" applyFont="1" applyBorder="1" applyAlignment="1">
      <alignment horizontal="right"/>
    </xf>
    <xf numFmtId="164" fontId="5904" fillId="0" borderId="6246" xfId="0" applyNumberFormat="1" applyFont="1" applyBorder="1" applyAlignment="1">
      <alignment horizontal="right"/>
    </xf>
    <xf numFmtId="164" fontId="5919" fillId="0" borderId="6261" xfId="0" applyNumberFormat="1" applyFont="1" applyBorder="1" applyAlignment="1">
      <alignment horizontal="right"/>
    </xf>
    <xf numFmtId="164" fontId="5890" fillId="0" borderId="6232" xfId="0" applyNumberFormat="1" applyFont="1" applyBorder="1" applyAlignment="1">
      <alignment horizontal="right"/>
    </xf>
    <xf numFmtId="164" fontId="5905" fillId="0" borderId="6247" xfId="0" applyNumberFormat="1" applyFont="1" applyBorder="1" applyAlignment="1">
      <alignment horizontal="right"/>
    </xf>
    <xf numFmtId="164" fontId="5920" fillId="0" borderId="6262" xfId="0" applyNumberFormat="1" applyFont="1" applyBorder="1" applyAlignment="1">
      <alignment horizontal="right"/>
    </xf>
    <xf numFmtId="164" fontId="5891" fillId="0" borderId="6233" xfId="0" applyNumberFormat="1" applyFont="1" applyBorder="1" applyAlignment="1">
      <alignment horizontal="right"/>
    </xf>
    <xf numFmtId="164" fontId="5906" fillId="0" borderId="6248" xfId="0" applyNumberFormat="1" applyFont="1" applyBorder="1" applyAlignment="1">
      <alignment horizontal="right"/>
    </xf>
    <xf numFmtId="164" fontId="5921" fillId="0" borderId="6263" xfId="0" applyNumberFormat="1" applyFont="1" applyBorder="1" applyAlignment="1">
      <alignment horizontal="right"/>
    </xf>
    <xf numFmtId="164" fontId="5892" fillId="0" borderId="6234" xfId="0" applyNumberFormat="1" applyFont="1" applyBorder="1" applyAlignment="1">
      <alignment horizontal="right"/>
    </xf>
    <xf numFmtId="164" fontId="5907" fillId="0" borderId="6249" xfId="0" applyNumberFormat="1" applyFont="1" applyBorder="1" applyAlignment="1">
      <alignment horizontal="right"/>
    </xf>
    <xf numFmtId="164" fontId="5922" fillId="0" borderId="6264" xfId="0" applyNumberFormat="1" applyFont="1" applyBorder="1" applyAlignment="1">
      <alignment horizontal="right"/>
    </xf>
    <xf numFmtId="164" fontId="5893" fillId="0" borderId="6235" xfId="0" applyNumberFormat="1" applyFont="1" applyBorder="1" applyAlignment="1">
      <alignment horizontal="right"/>
    </xf>
    <xf numFmtId="164" fontId="5908" fillId="0" borderId="6250" xfId="0" applyNumberFormat="1" applyFont="1" applyBorder="1" applyAlignment="1">
      <alignment horizontal="right"/>
    </xf>
    <xf numFmtId="164" fontId="5923" fillId="0" borderId="6265" xfId="0" applyNumberFormat="1" applyFont="1" applyBorder="1" applyAlignment="1">
      <alignment horizontal="right"/>
    </xf>
    <xf numFmtId="164" fontId="5894" fillId="0" borderId="6236" xfId="0" applyNumberFormat="1" applyFont="1" applyBorder="1" applyAlignment="1">
      <alignment horizontal="right"/>
    </xf>
    <xf numFmtId="164" fontId="5909" fillId="0" borderId="6251" xfId="0" applyNumberFormat="1" applyFont="1" applyBorder="1" applyAlignment="1">
      <alignment horizontal="right"/>
    </xf>
    <xf numFmtId="164" fontId="5924" fillId="0" borderId="6266" xfId="0" applyNumberFormat="1" applyFont="1" applyBorder="1" applyAlignment="1">
      <alignment horizontal="right"/>
    </xf>
    <xf numFmtId="164" fontId="5895" fillId="0" borderId="6237" xfId="0" applyNumberFormat="1" applyFont="1" applyBorder="1" applyAlignment="1">
      <alignment horizontal="right"/>
    </xf>
    <xf numFmtId="164" fontId="5910" fillId="0" borderId="6252" xfId="0" applyNumberFormat="1" applyFont="1" applyBorder="1" applyAlignment="1">
      <alignment horizontal="right"/>
    </xf>
    <xf numFmtId="164" fontId="5925" fillId="0" borderId="6267" xfId="0" applyNumberFormat="1" applyFont="1" applyBorder="1" applyAlignment="1">
      <alignment horizontal="right"/>
    </xf>
    <xf numFmtId="164" fontId="5896" fillId="0" borderId="6238" xfId="0" applyNumberFormat="1" applyFont="1" applyBorder="1" applyAlignment="1">
      <alignment horizontal="right"/>
    </xf>
    <xf numFmtId="164" fontId="5911" fillId="0" borderId="6253" xfId="0" applyNumberFormat="1" applyFont="1" applyBorder="1" applyAlignment="1">
      <alignment horizontal="right"/>
    </xf>
    <xf numFmtId="164" fontId="5926" fillId="0" borderId="6268" xfId="0" applyNumberFormat="1" applyFont="1" applyBorder="1" applyAlignment="1">
      <alignment horizontal="right"/>
    </xf>
    <xf numFmtId="164" fontId="5897" fillId="0" borderId="6239" xfId="0" applyNumberFormat="1" applyFont="1" applyBorder="1" applyAlignment="1">
      <alignment horizontal="right"/>
    </xf>
    <xf numFmtId="164" fontId="5912" fillId="0" borderId="6254" xfId="0" applyNumberFormat="1" applyFont="1" applyBorder="1" applyAlignment="1">
      <alignment horizontal="right"/>
    </xf>
    <xf numFmtId="164" fontId="5927" fillId="0" borderId="6269" xfId="0" applyNumberFormat="1" applyFont="1" applyBorder="1" applyAlignment="1">
      <alignment horizontal="right"/>
    </xf>
    <xf numFmtId="164" fontId="5898" fillId="0" borderId="6240" xfId="0" applyNumberFormat="1" applyFont="1" applyBorder="1" applyAlignment="1">
      <alignment horizontal="right"/>
    </xf>
    <xf numFmtId="164" fontId="5913" fillId="0" borderId="6255" xfId="0" applyNumberFormat="1" applyFont="1" applyBorder="1" applyAlignment="1">
      <alignment horizontal="right"/>
    </xf>
    <xf numFmtId="164" fontId="5928" fillId="0" borderId="6270" xfId="0" applyNumberFormat="1" applyFont="1" applyBorder="1" applyAlignment="1">
      <alignment horizontal="right"/>
    </xf>
    <xf numFmtId="164" fontId="5899" fillId="0" borderId="6241" xfId="0" applyNumberFormat="1" applyFont="1" applyBorder="1" applyAlignment="1">
      <alignment horizontal="right"/>
    </xf>
    <xf numFmtId="164" fontId="5914" fillId="0" borderId="6256" xfId="0" applyNumberFormat="1" applyFont="1" applyBorder="1" applyAlignment="1">
      <alignment horizontal="right"/>
    </xf>
    <xf numFmtId="164" fontId="5929" fillId="0" borderId="6271" xfId="0" applyNumberFormat="1" applyFont="1" applyBorder="1" applyAlignment="1">
      <alignment horizontal="right"/>
    </xf>
    <xf numFmtId="164" fontId="5934" fillId="0" borderId="6276" xfId="0" applyNumberFormat="1" applyFont="1" applyBorder="1" applyAlignment="1">
      <alignment horizontal="right"/>
    </xf>
    <xf numFmtId="164" fontId="5941" fillId="0" borderId="6290" xfId="0" applyNumberFormat="1" applyFont="1" applyBorder="1" applyAlignment="1">
      <alignment horizontal="right"/>
    </xf>
    <xf numFmtId="164" fontId="5948" fillId="0" borderId="6304" xfId="0" applyNumberFormat="1" applyFont="1" applyBorder="1" applyAlignment="1">
      <alignment horizontal="right"/>
    </xf>
    <xf numFmtId="164" fontId="5935" fillId="0" borderId="6277" xfId="0" applyNumberFormat="1" applyFont="1" applyBorder="1" applyAlignment="1">
      <alignment horizontal="right"/>
    </xf>
    <xf numFmtId="164" fontId="5942" fillId="0" borderId="6291" xfId="0" applyNumberFormat="1" applyFont="1" applyBorder="1" applyAlignment="1">
      <alignment horizontal="right"/>
    </xf>
    <xf numFmtId="164" fontId="5949" fillId="0" borderId="6305" xfId="0" applyNumberFormat="1" applyFont="1" applyBorder="1" applyAlignment="1">
      <alignment horizontal="right"/>
    </xf>
    <xf numFmtId="164" fontId="5936" fillId="0" borderId="6278" xfId="0" applyNumberFormat="1" applyFont="1" applyBorder="1" applyAlignment="1">
      <alignment horizontal="right"/>
    </xf>
    <xf numFmtId="164" fontId="5943" fillId="0" borderId="6292" xfId="0" applyNumberFormat="1" applyFont="1" applyBorder="1" applyAlignment="1">
      <alignment horizontal="right"/>
    </xf>
    <xf numFmtId="164" fontId="5950" fillId="0" borderId="6306" xfId="0" applyNumberFormat="1" applyFont="1" applyBorder="1" applyAlignment="1">
      <alignment horizontal="right"/>
    </xf>
    <xf numFmtId="164" fontId="5937" fillId="0" borderId="6279" xfId="0" applyNumberFormat="1" applyFont="1" applyBorder="1" applyAlignment="1">
      <alignment horizontal="right"/>
    </xf>
    <xf numFmtId="164" fontId="5944" fillId="0" borderId="6293" xfId="0" applyNumberFormat="1" applyFont="1" applyBorder="1" applyAlignment="1">
      <alignment horizontal="right"/>
    </xf>
    <xf numFmtId="164" fontId="5951" fillId="0" borderId="6307" xfId="0" applyNumberFormat="1" applyFont="1" applyBorder="1" applyAlignment="1">
      <alignment horizontal="right"/>
    </xf>
    <xf numFmtId="164" fontId="5938" fillId="0" borderId="6280" xfId="0" applyNumberFormat="1" applyFont="1" applyBorder="1" applyAlignment="1">
      <alignment horizontal="right"/>
    </xf>
    <xf numFmtId="164" fontId="5945" fillId="0" borderId="6294" xfId="0" applyNumberFormat="1" applyFont="1" applyBorder="1" applyAlignment="1">
      <alignment horizontal="right"/>
    </xf>
    <xf numFmtId="164" fontId="5952" fillId="0" borderId="6308" xfId="0" applyNumberFormat="1" applyFont="1" applyBorder="1" applyAlignment="1">
      <alignment horizontal="right"/>
    </xf>
    <xf numFmtId="164" fontId="5939" fillId="0" borderId="6281" xfId="0" applyNumberFormat="1" applyFont="1" applyBorder="1" applyAlignment="1">
      <alignment horizontal="right"/>
    </xf>
    <xf numFmtId="164" fontId="5946" fillId="0" borderId="6295" xfId="0" applyNumberFormat="1" applyFont="1" applyBorder="1" applyAlignment="1">
      <alignment horizontal="right"/>
    </xf>
    <xf numFmtId="164" fontId="5953" fillId="0" borderId="6309" xfId="0" applyNumberFormat="1" applyFont="1" applyBorder="1" applyAlignment="1">
      <alignment horizontal="right"/>
    </xf>
    <xf numFmtId="164" fontId="5940" fillId="0" borderId="6289" xfId="0" applyNumberFormat="1" applyFont="1" applyBorder="1" applyAlignment="1">
      <alignment horizontal="right"/>
    </xf>
    <xf numFmtId="164" fontId="5947" fillId="0" borderId="6303" xfId="0" applyNumberFormat="1" applyFont="1" applyBorder="1" applyAlignment="1">
      <alignment horizontal="right"/>
    </xf>
    <xf numFmtId="164" fontId="5954" fillId="0" borderId="6317" xfId="0" applyNumberFormat="1" applyFont="1" applyBorder="1" applyAlignment="1">
      <alignment horizontal="right"/>
    </xf>
    <xf numFmtId="164" fontId="5959" fillId="0" borderId="6322" xfId="0" applyNumberFormat="1" applyFont="1" applyBorder="1" applyAlignment="1">
      <alignment horizontal="right"/>
    </xf>
    <xf numFmtId="164" fontId="5974" fillId="0" borderId="6337" xfId="0" applyNumberFormat="1" applyFont="1" applyBorder="1" applyAlignment="1">
      <alignment horizontal="right"/>
    </xf>
    <xf numFmtId="164" fontId="5989" fillId="0" borderId="6352" xfId="0" applyNumberFormat="1" applyFont="1" applyBorder="1" applyAlignment="1">
      <alignment horizontal="right"/>
    </xf>
    <xf numFmtId="164" fontId="5960" fillId="0" borderId="6323" xfId="0" applyNumberFormat="1" applyFont="1" applyBorder="1" applyAlignment="1">
      <alignment horizontal="right"/>
    </xf>
    <xf numFmtId="164" fontId="5975" fillId="0" borderId="6338" xfId="0" applyNumberFormat="1" applyFont="1" applyBorder="1" applyAlignment="1">
      <alignment horizontal="right"/>
    </xf>
    <xf numFmtId="164" fontId="5990" fillId="0" borderId="6353" xfId="0" applyNumberFormat="1" applyFont="1" applyBorder="1" applyAlignment="1">
      <alignment horizontal="right"/>
    </xf>
    <xf numFmtId="164" fontId="5961" fillId="0" borderId="6324" xfId="0" applyNumberFormat="1" applyFont="1" applyBorder="1" applyAlignment="1">
      <alignment horizontal="right"/>
    </xf>
    <xf numFmtId="164" fontId="5976" fillId="0" borderId="6339" xfId="0" applyNumberFormat="1" applyFont="1" applyBorder="1" applyAlignment="1">
      <alignment horizontal="right"/>
    </xf>
    <xf numFmtId="164" fontId="5991" fillId="0" borderId="6354" xfId="0" applyNumberFormat="1" applyFont="1" applyBorder="1" applyAlignment="1">
      <alignment horizontal="right"/>
    </xf>
    <xf numFmtId="164" fontId="5962" fillId="0" borderId="6325" xfId="0" applyNumberFormat="1" applyFont="1" applyBorder="1" applyAlignment="1">
      <alignment horizontal="right"/>
    </xf>
    <xf numFmtId="164" fontId="5977" fillId="0" borderId="6340" xfId="0" applyNumberFormat="1" applyFont="1" applyBorder="1" applyAlignment="1">
      <alignment horizontal="right"/>
    </xf>
    <xf numFmtId="164" fontId="5992" fillId="0" borderId="6355" xfId="0" applyNumberFormat="1" applyFont="1" applyBorder="1" applyAlignment="1">
      <alignment horizontal="right"/>
    </xf>
    <xf numFmtId="164" fontId="5963" fillId="0" borderId="6326" xfId="0" applyNumberFormat="1" applyFont="1" applyBorder="1" applyAlignment="1">
      <alignment horizontal="right"/>
    </xf>
    <xf numFmtId="164" fontId="5978" fillId="0" borderId="6341" xfId="0" applyNumberFormat="1" applyFont="1" applyBorder="1" applyAlignment="1">
      <alignment horizontal="right"/>
    </xf>
    <xf numFmtId="164" fontId="5993" fillId="0" borderId="6356" xfId="0" applyNumberFormat="1" applyFont="1" applyBorder="1" applyAlignment="1">
      <alignment horizontal="right"/>
    </xf>
    <xf numFmtId="164" fontId="5964" fillId="0" borderId="6327" xfId="0" applyNumberFormat="1" applyFont="1" applyBorder="1" applyAlignment="1">
      <alignment horizontal="right"/>
    </xf>
    <xf numFmtId="164" fontId="5979" fillId="0" borderId="6342" xfId="0" applyNumberFormat="1" applyFont="1" applyBorder="1" applyAlignment="1">
      <alignment horizontal="right"/>
    </xf>
    <xf numFmtId="164" fontId="5994" fillId="0" borderId="6357" xfId="0" applyNumberFormat="1" applyFont="1" applyBorder="1" applyAlignment="1">
      <alignment horizontal="right"/>
    </xf>
    <xf numFmtId="164" fontId="5965" fillId="0" borderId="6328" xfId="0" applyNumberFormat="1" applyFont="1" applyBorder="1" applyAlignment="1">
      <alignment horizontal="right"/>
    </xf>
    <xf numFmtId="164" fontId="5980" fillId="0" borderId="6343" xfId="0" applyNumberFormat="1" applyFont="1" applyBorder="1" applyAlignment="1">
      <alignment horizontal="right"/>
    </xf>
    <xf numFmtId="164" fontId="5995" fillId="0" borderId="6358" xfId="0" applyNumberFormat="1" applyFont="1" applyBorder="1" applyAlignment="1">
      <alignment horizontal="right"/>
    </xf>
    <xf numFmtId="164" fontId="5966" fillId="0" borderId="6329" xfId="0" applyNumberFormat="1" applyFont="1" applyBorder="1" applyAlignment="1">
      <alignment horizontal="right"/>
    </xf>
    <xf numFmtId="164" fontId="5981" fillId="0" borderId="6344" xfId="0" applyNumberFormat="1" applyFont="1" applyBorder="1" applyAlignment="1">
      <alignment horizontal="right"/>
    </xf>
    <xf numFmtId="164" fontId="5996" fillId="0" borderId="6359" xfId="0" applyNumberFormat="1" applyFont="1" applyBorder="1" applyAlignment="1">
      <alignment horizontal="right"/>
    </xf>
    <xf numFmtId="164" fontId="5967" fillId="0" borderId="6330" xfId="0" applyNumberFormat="1" applyFont="1" applyBorder="1" applyAlignment="1">
      <alignment horizontal="right"/>
    </xf>
    <xf numFmtId="164" fontId="5982" fillId="0" borderId="6345" xfId="0" applyNumberFormat="1" applyFont="1" applyBorder="1" applyAlignment="1">
      <alignment horizontal="right"/>
    </xf>
    <xf numFmtId="164" fontId="5997" fillId="0" borderId="6360" xfId="0" applyNumberFormat="1" applyFont="1" applyBorder="1" applyAlignment="1">
      <alignment horizontal="right"/>
    </xf>
    <xf numFmtId="164" fontId="5968" fillId="0" borderId="6331" xfId="0" applyNumberFormat="1" applyFont="1" applyBorder="1" applyAlignment="1">
      <alignment horizontal="right"/>
    </xf>
    <xf numFmtId="164" fontId="5983" fillId="0" borderId="6346" xfId="0" applyNumberFormat="1" applyFont="1" applyBorder="1" applyAlignment="1">
      <alignment horizontal="right"/>
    </xf>
    <xf numFmtId="164" fontId="5998" fillId="0" borderId="6361" xfId="0" applyNumberFormat="1" applyFont="1" applyBorder="1" applyAlignment="1">
      <alignment horizontal="right"/>
    </xf>
    <xf numFmtId="164" fontId="5969" fillId="0" borderId="6332" xfId="0" applyNumberFormat="1" applyFont="1" applyBorder="1" applyAlignment="1">
      <alignment horizontal="right"/>
    </xf>
    <xf numFmtId="164" fontId="5984" fillId="0" borderId="6347" xfId="0" applyNumberFormat="1" applyFont="1" applyBorder="1" applyAlignment="1">
      <alignment horizontal="right"/>
    </xf>
    <xf numFmtId="164" fontId="5999" fillId="0" borderId="6362" xfId="0" applyNumberFormat="1" applyFont="1" applyBorder="1" applyAlignment="1">
      <alignment horizontal="right"/>
    </xf>
    <xf numFmtId="164" fontId="5970" fillId="0" borderId="6333" xfId="0" applyNumberFormat="1" applyFont="1" applyBorder="1" applyAlignment="1">
      <alignment horizontal="right"/>
    </xf>
    <xf numFmtId="164" fontId="5985" fillId="0" borderId="6348" xfId="0" applyNumberFormat="1" applyFont="1" applyBorder="1" applyAlignment="1">
      <alignment horizontal="right"/>
    </xf>
    <xf numFmtId="164" fontId="6000" fillId="0" borderId="6363" xfId="0" applyNumberFormat="1" applyFont="1" applyBorder="1" applyAlignment="1">
      <alignment horizontal="right"/>
    </xf>
    <xf numFmtId="164" fontId="5971" fillId="0" borderId="6334" xfId="0" applyNumberFormat="1" applyFont="1" applyBorder="1" applyAlignment="1">
      <alignment horizontal="right"/>
    </xf>
    <xf numFmtId="164" fontId="5986" fillId="0" borderId="6349" xfId="0" applyNumberFormat="1" applyFont="1" applyBorder="1" applyAlignment="1">
      <alignment horizontal="right"/>
    </xf>
    <xf numFmtId="164" fontId="6001" fillId="0" borderId="6364" xfId="0" applyNumberFormat="1" applyFont="1" applyBorder="1" applyAlignment="1">
      <alignment horizontal="right"/>
    </xf>
    <xf numFmtId="164" fontId="5972" fillId="0" borderId="6335" xfId="0" applyNumberFormat="1" applyFont="1" applyBorder="1" applyAlignment="1">
      <alignment horizontal="right"/>
    </xf>
    <xf numFmtId="164" fontId="5987" fillId="0" borderId="6350" xfId="0" applyNumberFormat="1" applyFont="1" applyBorder="1" applyAlignment="1">
      <alignment horizontal="right"/>
    </xf>
    <xf numFmtId="164" fontId="6002" fillId="0" borderId="6365" xfId="0" applyNumberFormat="1" applyFont="1" applyBorder="1" applyAlignment="1">
      <alignment horizontal="right"/>
    </xf>
    <xf numFmtId="164" fontId="5973" fillId="0" borderId="6336" xfId="0" applyNumberFormat="1" applyFont="1" applyBorder="1" applyAlignment="1">
      <alignment horizontal="right"/>
    </xf>
    <xf numFmtId="164" fontId="5988" fillId="0" borderId="6351" xfId="0" applyNumberFormat="1" applyFont="1" applyBorder="1" applyAlignment="1">
      <alignment horizontal="right"/>
    </xf>
    <xf numFmtId="164" fontId="6003" fillId="0" borderId="6366" xfId="0" applyNumberFormat="1" applyFont="1" applyBorder="1" applyAlignment="1">
      <alignment horizontal="right"/>
    </xf>
    <xf numFmtId="164" fontId="6008" fillId="0" borderId="6371" xfId="0" applyNumberFormat="1" applyFont="1" applyBorder="1" applyAlignment="1">
      <alignment horizontal="right"/>
    </xf>
    <xf numFmtId="164" fontId="6023" fillId="0" borderId="6386" xfId="0" applyNumberFormat="1" applyFont="1" applyBorder="1" applyAlignment="1">
      <alignment horizontal="right"/>
    </xf>
    <xf numFmtId="164" fontId="6038" fillId="0" borderId="6401" xfId="0" applyNumberFormat="1" applyFont="1" applyBorder="1" applyAlignment="1">
      <alignment horizontal="right"/>
    </xf>
    <xf numFmtId="164" fontId="6009" fillId="0" borderId="6372" xfId="0" applyNumberFormat="1" applyFont="1" applyBorder="1" applyAlignment="1">
      <alignment horizontal="right"/>
    </xf>
    <xf numFmtId="164" fontId="6024" fillId="0" borderId="6387" xfId="0" applyNumberFormat="1" applyFont="1" applyBorder="1" applyAlignment="1">
      <alignment horizontal="right"/>
    </xf>
    <xf numFmtId="164" fontId="6039" fillId="0" borderId="6402" xfId="0" applyNumberFormat="1" applyFont="1" applyBorder="1" applyAlignment="1">
      <alignment horizontal="right"/>
    </xf>
    <xf numFmtId="164" fontId="6010" fillId="0" borderId="6373" xfId="0" applyNumberFormat="1" applyFont="1" applyBorder="1" applyAlignment="1">
      <alignment horizontal="right"/>
    </xf>
    <xf numFmtId="164" fontId="6025" fillId="0" borderId="6388" xfId="0" applyNumberFormat="1" applyFont="1" applyBorder="1" applyAlignment="1">
      <alignment horizontal="right"/>
    </xf>
    <xf numFmtId="164" fontId="6040" fillId="0" borderId="6403" xfId="0" applyNumberFormat="1" applyFont="1" applyBorder="1" applyAlignment="1">
      <alignment horizontal="right"/>
    </xf>
    <xf numFmtId="164" fontId="6011" fillId="0" borderId="6374" xfId="0" applyNumberFormat="1" applyFont="1" applyBorder="1" applyAlignment="1">
      <alignment horizontal="right"/>
    </xf>
    <xf numFmtId="164" fontId="6026" fillId="0" borderId="6389" xfId="0" applyNumberFormat="1" applyFont="1" applyBorder="1" applyAlignment="1">
      <alignment horizontal="right"/>
    </xf>
    <xf numFmtId="164" fontId="6041" fillId="0" borderId="6404" xfId="0" applyNumberFormat="1" applyFont="1" applyBorder="1" applyAlignment="1">
      <alignment horizontal="right"/>
    </xf>
    <xf numFmtId="164" fontId="6012" fillId="0" borderId="6375" xfId="0" applyNumberFormat="1" applyFont="1" applyBorder="1" applyAlignment="1">
      <alignment horizontal="right"/>
    </xf>
    <xf numFmtId="164" fontId="6027" fillId="0" borderId="6390" xfId="0" applyNumberFormat="1" applyFont="1" applyBorder="1" applyAlignment="1">
      <alignment horizontal="right"/>
    </xf>
    <xf numFmtId="164" fontId="6042" fillId="0" borderId="6405" xfId="0" applyNumberFormat="1" applyFont="1" applyBorder="1" applyAlignment="1">
      <alignment horizontal="right"/>
    </xf>
    <xf numFmtId="164" fontId="6013" fillId="0" borderId="6376" xfId="0" applyNumberFormat="1" applyFont="1" applyBorder="1" applyAlignment="1">
      <alignment horizontal="right"/>
    </xf>
    <xf numFmtId="164" fontId="6028" fillId="0" borderId="6391" xfId="0" applyNumberFormat="1" applyFont="1" applyBorder="1" applyAlignment="1">
      <alignment horizontal="right"/>
    </xf>
    <xf numFmtId="164" fontId="6043" fillId="0" borderId="6406" xfId="0" applyNumberFormat="1" applyFont="1" applyBorder="1" applyAlignment="1">
      <alignment horizontal="right"/>
    </xf>
    <xf numFmtId="164" fontId="6014" fillId="0" borderId="6377" xfId="0" applyNumberFormat="1" applyFont="1" applyBorder="1" applyAlignment="1">
      <alignment horizontal="right"/>
    </xf>
    <xf numFmtId="164" fontId="6029" fillId="0" borderId="6392" xfId="0" applyNumberFormat="1" applyFont="1" applyBorder="1" applyAlignment="1">
      <alignment horizontal="right"/>
    </xf>
    <xf numFmtId="164" fontId="6044" fillId="0" borderId="6407" xfId="0" applyNumberFormat="1" applyFont="1" applyBorder="1" applyAlignment="1">
      <alignment horizontal="right"/>
    </xf>
    <xf numFmtId="164" fontId="6015" fillId="0" borderId="6378" xfId="0" applyNumberFormat="1" applyFont="1" applyBorder="1" applyAlignment="1">
      <alignment horizontal="right"/>
    </xf>
    <xf numFmtId="164" fontId="6030" fillId="0" borderId="6393" xfId="0" applyNumberFormat="1" applyFont="1" applyBorder="1" applyAlignment="1">
      <alignment horizontal="right"/>
    </xf>
    <xf numFmtId="164" fontId="6045" fillId="0" borderId="6408" xfId="0" applyNumberFormat="1" applyFont="1" applyBorder="1" applyAlignment="1">
      <alignment horizontal="right"/>
    </xf>
    <xf numFmtId="164" fontId="6016" fillId="0" borderId="6379" xfId="0" applyNumberFormat="1" applyFont="1" applyBorder="1" applyAlignment="1">
      <alignment horizontal="right"/>
    </xf>
    <xf numFmtId="164" fontId="6031" fillId="0" borderId="6394" xfId="0" applyNumberFormat="1" applyFont="1" applyBorder="1" applyAlignment="1">
      <alignment horizontal="right"/>
    </xf>
    <xf numFmtId="164" fontId="6046" fillId="0" borderId="6409" xfId="0" applyNumberFormat="1" applyFont="1" applyBorder="1" applyAlignment="1">
      <alignment horizontal="right"/>
    </xf>
    <xf numFmtId="164" fontId="6017" fillId="0" borderId="6380" xfId="0" applyNumberFormat="1" applyFont="1" applyBorder="1" applyAlignment="1">
      <alignment horizontal="right"/>
    </xf>
    <xf numFmtId="164" fontId="6032" fillId="0" borderId="6395" xfId="0" applyNumberFormat="1" applyFont="1" applyBorder="1" applyAlignment="1">
      <alignment horizontal="right"/>
    </xf>
    <xf numFmtId="164" fontId="6047" fillId="0" borderId="6410" xfId="0" applyNumberFormat="1" applyFont="1" applyBorder="1" applyAlignment="1">
      <alignment horizontal="right"/>
    </xf>
    <xf numFmtId="164" fontId="6018" fillId="0" borderId="6381" xfId="0" applyNumberFormat="1" applyFont="1" applyBorder="1" applyAlignment="1">
      <alignment horizontal="right"/>
    </xf>
    <xf numFmtId="164" fontId="6033" fillId="0" borderId="6396" xfId="0" applyNumberFormat="1" applyFont="1" applyBorder="1" applyAlignment="1">
      <alignment horizontal="right"/>
    </xf>
    <xf numFmtId="164" fontId="6048" fillId="0" borderId="6411" xfId="0" applyNumberFormat="1" applyFont="1" applyBorder="1" applyAlignment="1">
      <alignment horizontal="right"/>
    </xf>
    <xf numFmtId="164" fontId="6019" fillId="0" borderId="6382" xfId="0" applyNumberFormat="1" applyFont="1" applyBorder="1" applyAlignment="1">
      <alignment horizontal="right"/>
    </xf>
    <xf numFmtId="164" fontId="6034" fillId="0" borderId="6397" xfId="0" applyNumberFormat="1" applyFont="1" applyBorder="1" applyAlignment="1">
      <alignment horizontal="right"/>
    </xf>
    <xf numFmtId="164" fontId="6049" fillId="0" borderId="6412" xfId="0" applyNumberFormat="1" applyFont="1" applyBorder="1" applyAlignment="1">
      <alignment horizontal="right"/>
    </xf>
    <xf numFmtId="164" fontId="6020" fillId="0" borderId="6383" xfId="0" applyNumberFormat="1" applyFont="1" applyBorder="1" applyAlignment="1">
      <alignment horizontal="right"/>
    </xf>
    <xf numFmtId="164" fontId="6035" fillId="0" borderId="6398" xfId="0" applyNumberFormat="1" applyFont="1" applyBorder="1" applyAlignment="1">
      <alignment horizontal="right"/>
    </xf>
    <xf numFmtId="164" fontId="6050" fillId="0" borderId="6413" xfId="0" applyNumberFormat="1" applyFont="1" applyBorder="1" applyAlignment="1">
      <alignment horizontal="right"/>
    </xf>
    <xf numFmtId="164" fontId="6021" fillId="0" borderId="6384" xfId="0" applyNumberFormat="1" applyFont="1" applyBorder="1" applyAlignment="1">
      <alignment horizontal="right"/>
    </xf>
    <xf numFmtId="164" fontId="6036" fillId="0" borderId="6399" xfId="0" applyNumberFormat="1" applyFont="1" applyBorder="1" applyAlignment="1">
      <alignment horizontal="right"/>
    </xf>
    <xf numFmtId="164" fontId="6051" fillId="0" borderId="6414" xfId="0" applyNumberFormat="1" applyFont="1" applyBorder="1" applyAlignment="1">
      <alignment horizontal="right"/>
    </xf>
    <xf numFmtId="164" fontId="6022" fillId="0" borderId="6385" xfId="0" applyNumberFormat="1" applyFont="1" applyBorder="1" applyAlignment="1">
      <alignment horizontal="right"/>
    </xf>
    <xf numFmtId="164" fontId="6037" fillId="0" borderId="6400" xfId="0" applyNumberFormat="1" applyFont="1" applyBorder="1" applyAlignment="1">
      <alignment horizontal="right"/>
    </xf>
    <xf numFmtId="164" fontId="6052" fillId="0" borderId="6415" xfId="0" applyNumberFormat="1" applyFont="1" applyBorder="1" applyAlignment="1">
      <alignment horizontal="right"/>
    </xf>
    <xf numFmtId="164" fontId="6057" fillId="0" borderId="6420" xfId="0" applyNumberFormat="1" applyFont="1" applyBorder="1" applyAlignment="1">
      <alignment horizontal="right"/>
    </xf>
    <xf numFmtId="164" fontId="6072" fillId="0" borderId="6435" xfId="0" applyNumberFormat="1" applyFont="1" applyBorder="1" applyAlignment="1">
      <alignment horizontal="right"/>
    </xf>
    <xf numFmtId="164" fontId="6087" fillId="0" borderId="6450" xfId="0" applyNumberFormat="1" applyFont="1" applyBorder="1" applyAlignment="1">
      <alignment horizontal="right"/>
    </xf>
    <xf numFmtId="164" fontId="6058" fillId="0" borderId="6421" xfId="0" applyNumberFormat="1" applyFont="1" applyBorder="1" applyAlignment="1">
      <alignment horizontal="right"/>
    </xf>
    <xf numFmtId="164" fontId="6073" fillId="0" borderId="6436" xfId="0" applyNumberFormat="1" applyFont="1" applyBorder="1" applyAlignment="1">
      <alignment horizontal="right"/>
    </xf>
    <xf numFmtId="164" fontId="6088" fillId="0" borderId="6451" xfId="0" applyNumberFormat="1" applyFont="1" applyBorder="1" applyAlignment="1">
      <alignment horizontal="right"/>
    </xf>
    <xf numFmtId="164" fontId="6059" fillId="0" borderId="6422" xfId="0" applyNumberFormat="1" applyFont="1" applyBorder="1" applyAlignment="1">
      <alignment horizontal="right"/>
    </xf>
    <xf numFmtId="164" fontId="6074" fillId="0" borderId="6437" xfId="0" applyNumberFormat="1" applyFont="1" applyBorder="1" applyAlignment="1">
      <alignment horizontal="right"/>
    </xf>
    <xf numFmtId="164" fontId="6089" fillId="0" borderId="6452" xfId="0" applyNumberFormat="1" applyFont="1" applyBorder="1" applyAlignment="1">
      <alignment horizontal="right"/>
    </xf>
    <xf numFmtId="164" fontId="6060" fillId="0" borderId="6423" xfId="0" applyNumberFormat="1" applyFont="1" applyBorder="1" applyAlignment="1">
      <alignment horizontal="right"/>
    </xf>
    <xf numFmtId="164" fontId="6075" fillId="0" borderId="6438" xfId="0" applyNumberFormat="1" applyFont="1" applyBorder="1" applyAlignment="1">
      <alignment horizontal="right"/>
    </xf>
    <xf numFmtId="164" fontId="6090" fillId="0" borderId="6453" xfId="0" applyNumberFormat="1" applyFont="1" applyBorder="1" applyAlignment="1">
      <alignment horizontal="right"/>
    </xf>
    <xf numFmtId="164" fontId="6061" fillId="0" borderId="6424" xfId="0" applyNumberFormat="1" applyFont="1" applyBorder="1" applyAlignment="1">
      <alignment horizontal="right"/>
    </xf>
    <xf numFmtId="164" fontId="6076" fillId="0" borderId="6439" xfId="0" applyNumberFormat="1" applyFont="1" applyBorder="1" applyAlignment="1">
      <alignment horizontal="right"/>
    </xf>
    <xf numFmtId="164" fontId="6091" fillId="0" borderId="6454" xfId="0" applyNumberFormat="1" applyFont="1" applyBorder="1" applyAlignment="1">
      <alignment horizontal="right"/>
    </xf>
    <xf numFmtId="164" fontId="6062" fillId="0" borderId="6425" xfId="0" applyNumberFormat="1" applyFont="1" applyBorder="1" applyAlignment="1">
      <alignment horizontal="right"/>
    </xf>
    <xf numFmtId="164" fontId="6077" fillId="0" borderId="6440" xfId="0" applyNumberFormat="1" applyFont="1" applyBorder="1" applyAlignment="1">
      <alignment horizontal="right"/>
    </xf>
    <xf numFmtId="164" fontId="6092" fillId="0" borderId="6455" xfId="0" applyNumberFormat="1" applyFont="1" applyBorder="1" applyAlignment="1">
      <alignment horizontal="right"/>
    </xf>
    <xf numFmtId="164" fontId="6063" fillId="0" borderId="6426" xfId="0" applyNumberFormat="1" applyFont="1" applyBorder="1" applyAlignment="1">
      <alignment horizontal="right"/>
    </xf>
    <xf numFmtId="164" fontId="6078" fillId="0" borderId="6441" xfId="0" applyNumberFormat="1" applyFont="1" applyBorder="1" applyAlignment="1">
      <alignment horizontal="right"/>
    </xf>
    <xf numFmtId="164" fontId="6093" fillId="0" borderId="6456" xfId="0" applyNumberFormat="1" applyFont="1" applyBorder="1" applyAlignment="1">
      <alignment horizontal="right"/>
    </xf>
    <xf numFmtId="164" fontId="6064" fillId="0" borderId="6427" xfId="0" applyNumberFormat="1" applyFont="1" applyBorder="1" applyAlignment="1">
      <alignment horizontal="right"/>
    </xf>
    <xf numFmtId="164" fontId="6079" fillId="0" borderId="6442" xfId="0" applyNumberFormat="1" applyFont="1" applyBorder="1" applyAlignment="1">
      <alignment horizontal="right"/>
    </xf>
    <xf numFmtId="164" fontId="6094" fillId="0" borderId="6457" xfId="0" applyNumberFormat="1" applyFont="1" applyBorder="1" applyAlignment="1">
      <alignment horizontal="right"/>
    </xf>
    <xf numFmtId="164" fontId="6065" fillId="0" borderId="6428" xfId="0" applyNumberFormat="1" applyFont="1" applyBorder="1" applyAlignment="1">
      <alignment horizontal="right"/>
    </xf>
    <xf numFmtId="164" fontId="6080" fillId="0" borderId="6443" xfId="0" applyNumberFormat="1" applyFont="1" applyBorder="1" applyAlignment="1">
      <alignment horizontal="right"/>
    </xf>
    <xf numFmtId="164" fontId="6095" fillId="0" borderId="6458" xfId="0" applyNumberFormat="1" applyFont="1" applyBorder="1" applyAlignment="1">
      <alignment horizontal="right"/>
    </xf>
    <xf numFmtId="164" fontId="6066" fillId="0" borderId="6429" xfId="0" applyNumberFormat="1" applyFont="1" applyBorder="1" applyAlignment="1">
      <alignment horizontal="right"/>
    </xf>
    <xf numFmtId="164" fontId="6081" fillId="0" borderId="6444" xfId="0" applyNumberFormat="1" applyFont="1" applyBorder="1" applyAlignment="1">
      <alignment horizontal="right"/>
    </xf>
    <xf numFmtId="164" fontId="6096" fillId="0" borderId="6459" xfId="0" applyNumberFormat="1" applyFont="1" applyBorder="1" applyAlignment="1">
      <alignment horizontal="right"/>
    </xf>
    <xf numFmtId="164" fontId="6067" fillId="0" borderId="6430" xfId="0" applyNumberFormat="1" applyFont="1" applyBorder="1" applyAlignment="1">
      <alignment horizontal="right"/>
    </xf>
    <xf numFmtId="164" fontId="6082" fillId="0" borderId="6445" xfId="0" applyNumberFormat="1" applyFont="1" applyBorder="1" applyAlignment="1">
      <alignment horizontal="right"/>
    </xf>
    <xf numFmtId="164" fontId="6097" fillId="0" borderId="6460" xfId="0" applyNumberFormat="1" applyFont="1" applyBorder="1" applyAlignment="1">
      <alignment horizontal="right"/>
    </xf>
    <xf numFmtId="164" fontId="6068" fillId="0" borderId="6431" xfId="0" applyNumberFormat="1" applyFont="1" applyBorder="1" applyAlignment="1">
      <alignment horizontal="right"/>
    </xf>
    <xf numFmtId="164" fontId="6083" fillId="0" borderId="6446" xfId="0" applyNumberFormat="1" applyFont="1" applyBorder="1" applyAlignment="1">
      <alignment horizontal="right"/>
    </xf>
    <xf numFmtId="164" fontId="6098" fillId="0" borderId="6461" xfId="0" applyNumberFormat="1" applyFont="1" applyBorder="1" applyAlignment="1">
      <alignment horizontal="right"/>
    </xf>
    <xf numFmtId="164" fontId="6069" fillId="0" borderId="6432" xfId="0" applyNumberFormat="1" applyFont="1" applyBorder="1" applyAlignment="1">
      <alignment horizontal="right"/>
    </xf>
    <xf numFmtId="164" fontId="6084" fillId="0" borderId="6447" xfId="0" applyNumberFormat="1" applyFont="1" applyBorder="1" applyAlignment="1">
      <alignment horizontal="right"/>
    </xf>
    <xf numFmtId="164" fontId="6099" fillId="0" borderId="6462" xfId="0" applyNumberFormat="1" applyFont="1" applyBorder="1" applyAlignment="1">
      <alignment horizontal="right"/>
    </xf>
    <xf numFmtId="164" fontId="6070" fillId="0" borderId="6433" xfId="0" applyNumberFormat="1" applyFont="1" applyBorder="1" applyAlignment="1">
      <alignment horizontal="right"/>
    </xf>
    <xf numFmtId="164" fontId="6085" fillId="0" borderId="6448" xfId="0" applyNumberFormat="1" applyFont="1" applyBorder="1" applyAlignment="1">
      <alignment horizontal="right"/>
    </xf>
    <xf numFmtId="164" fontId="6100" fillId="0" borderId="6463" xfId="0" applyNumberFormat="1" applyFont="1" applyBorder="1" applyAlignment="1">
      <alignment horizontal="right"/>
    </xf>
    <xf numFmtId="164" fontId="6071" fillId="0" borderId="6434" xfId="0" applyNumberFormat="1" applyFont="1" applyBorder="1" applyAlignment="1">
      <alignment horizontal="right"/>
    </xf>
    <xf numFmtId="164" fontId="6086" fillId="0" borderId="6449" xfId="0" applyNumberFormat="1" applyFont="1" applyBorder="1" applyAlignment="1">
      <alignment horizontal="right"/>
    </xf>
    <xf numFmtId="164" fontId="6101" fillId="0" borderId="6464" xfId="0" applyNumberFormat="1" applyFont="1" applyBorder="1" applyAlignment="1">
      <alignment horizontal="right"/>
    </xf>
    <xf numFmtId="164" fontId="0" fillId="0" borderId="0" xfId="0" applyNumberFormat="1" applyAlignment="1">
      <alignment horizontal="left"/>
    </xf>
    <xf numFmtId="164" fontId="5835" fillId="0" borderId="6177" xfId="0" applyNumberFormat="1" applyFont="1" applyBorder="1"/>
    <xf numFmtId="164" fontId="5832" fillId="0" borderId="6174" xfId="0" applyNumberFormat="1" applyFont="1" applyBorder="1"/>
    <xf numFmtId="164" fontId="5833" fillId="0" borderId="6175" xfId="0" applyNumberFormat="1" applyFont="1" applyBorder="1"/>
    <xf numFmtId="164" fontId="5834" fillId="0" borderId="6176" xfId="0" applyNumberFormat="1" applyFont="1" applyBorder="1"/>
    <xf numFmtId="164" fontId="5884" fillId="0" borderId="6226" xfId="0" applyNumberFormat="1" applyFont="1" applyBorder="1"/>
    <xf numFmtId="164" fontId="5881" fillId="0" borderId="6223" xfId="0" applyNumberFormat="1" applyFont="1" applyBorder="1"/>
    <xf numFmtId="164" fontId="5882" fillId="0" borderId="6224" xfId="0" applyNumberFormat="1" applyFont="1" applyBorder="1"/>
    <xf numFmtId="164" fontId="5883" fillId="0" borderId="6225" xfId="0" applyNumberFormat="1" applyFont="1" applyBorder="1"/>
    <xf numFmtId="164" fontId="5933" fillId="0" borderId="6275" xfId="0" applyNumberFormat="1" applyFont="1" applyBorder="1"/>
    <xf numFmtId="164" fontId="5930" fillId="0" borderId="6272" xfId="0" applyNumberFormat="1" applyFont="1" applyBorder="1"/>
    <xf numFmtId="164" fontId="5931" fillId="0" borderId="6273" xfId="0" applyNumberFormat="1" applyFont="1" applyBorder="1"/>
    <xf numFmtId="164" fontId="5932" fillId="0" borderId="6274" xfId="0" applyNumberFormat="1" applyFont="1" applyBorder="1"/>
    <xf numFmtId="164" fontId="5958" fillId="0" borderId="6321" xfId="0" applyNumberFormat="1" applyFont="1" applyBorder="1"/>
    <xf numFmtId="164" fontId="5955" fillId="0" borderId="6318" xfId="0" applyNumberFormat="1" applyFont="1" applyBorder="1"/>
    <xf numFmtId="164" fontId="5956" fillId="0" borderId="6319" xfId="0" applyNumberFormat="1" applyFont="1" applyBorder="1"/>
    <xf numFmtId="164" fontId="5957" fillId="0" borderId="6320" xfId="0" applyNumberFormat="1" applyFont="1" applyBorder="1"/>
    <xf numFmtId="164" fontId="6007" fillId="0" borderId="6370" xfId="0" applyNumberFormat="1" applyFont="1" applyBorder="1"/>
    <xf numFmtId="164" fontId="6004" fillId="0" borderId="6367" xfId="0" applyNumberFormat="1" applyFont="1" applyBorder="1"/>
    <xf numFmtId="164" fontId="6005" fillId="0" borderId="6368" xfId="0" applyNumberFormat="1" applyFont="1" applyBorder="1"/>
    <xf numFmtId="164" fontId="6006" fillId="0" borderId="6369" xfId="0" applyNumberFormat="1" applyFont="1" applyBorder="1"/>
    <xf numFmtId="164" fontId="6056" fillId="0" borderId="6419" xfId="0" applyNumberFormat="1" applyFont="1" applyBorder="1"/>
    <xf numFmtId="164" fontId="6053" fillId="0" borderId="6416" xfId="0" applyNumberFormat="1" applyFont="1" applyBorder="1"/>
    <xf numFmtId="164" fontId="6054" fillId="0" borderId="6417" xfId="0" applyNumberFormat="1" applyFont="1" applyBorder="1"/>
    <xf numFmtId="164" fontId="6055" fillId="0" borderId="6418" xfId="0" applyNumberFormat="1" applyFont="1" applyBorder="1"/>
    <xf numFmtId="164" fontId="6105" fillId="0" borderId="6468" xfId="0" applyNumberFormat="1" applyFont="1" applyBorder="1"/>
    <xf numFmtId="164" fontId="6102" fillId="0" borderId="6465" xfId="0" applyNumberFormat="1" applyFont="1" applyBorder="1"/>
    <xf numFmtId="164" fontId="6103" fillId="0" borderId="6466" xfId="0" applyNumberFormat="1" applyFont="1" applyBorder="1"/>
    <xf numFmtId="164" fontId="6104" fillId="0" borderId="6467" xfId="0" applyNumberFormat="1" applyFont="1" applyBorder="1"/>
    <xf numFmtId="164" fontId="1" fillId="0" borderId="0" xfId="0" applyNumberFormat="1" applyFont="1" applyAlignment="1">
      <alignment horizontal="right"/>
    </xf>
    <xf numFmtId="164" fontId="1" fillId="0" borderId="6282" xfId="0" applyNumberFormat="1" applyFont="1" applyBorder="1" applyAlignment="1">
      <alignment horizontal="right"/>
    </xf>
    <xf numFmtId="164" fontId="1" fillId="0" borderId="6283" xfId="0" applyNumberFormat="1" applyFont="1" applyBorder="1" applyAlignment="1">
      <alignment horizontal="right"/>
    </xf>
    <xf numFmtId="164" fontId="1" fillId="0" borderId="6284" xfId="0" applyNumberFormat="1" applyFont="1" applyBorder="1" applyAlignment="1">
      <alignment horizontal="right"/>
    </xf>
    <xf numFmtId="164" fontId="1" fillId="0" borderId="6285" xfId="0" applyNumberFormat="1" applyFont="1" applyBorder="1" applyAlignment="1">
      <alignment horizontal="right"/>
    </xf>
    <xf numFmtId="164" fontId="1" fillId="0" borderId="6286" xfId="0" applyNumberFormat="1" applyFont="1" applyBorder="1" applyAlignment="1">
      <alignment horizontal="right"/>
    </xf>
    <xf numFmtId="164" fontId="1" fillId="0" borderId="6287" xfId="0" applyNumberFormat="1" applyFont="1" applyBorder="1" applyAlignment="1">
      <alignment horizontal="right"/>
    </xf>
    <xf numFmtId="164" fontId="1" fillId="0" borderId="6288" xfId="0" applyNumberFormat="1" applyFont="1" applyBorder="1" applyAlignment="1">
      <alignment horizontal="right"/>
    </xf>
    <xf numFmtId="164" fontId="1" fillId="0" borderId="6296" xfId="0" applyNumberFormat="1" applyFont="1" applyBorder="1" applyAlignment="1">
      <alignment horizontal="right"/>
    </xf>
    <xf numFmtId="164" fontId="1" fillId="0" borderId="6297" xfId="0" applyNumberFormat="1" applyFont="1" applyBorder="1" applyAlignment="1">
      <alignment horizontal="right"/>
    </xf>
    <xf numFmtId="164" fontId="1" fillId="0" borderId="6298" xfId="0" applyNumberFormat="1" applyFont="1" applyBorder="1" applyAlignment="1">
      <alignment horizontal="right"/>
    </xf>
    <xf numFmtId="164" fontId="1" fillId="0" borderId="6299" xfId="0" applyNumberFormat="1" applyFont="1" applyBorder="1" applyAlignment="1">
      <alignment horizontal="right"/>
    </xf>
    <xf numFmtId="164" fontId="1" fillId="0" borderId="6300" xfId="0" applyNumberFormat="1" applyFont="1" applyBorder="1" applyAlignment="1">
      <alignment horizontal="right"/>
    </xf>
    <xf numFmtId="164" fontId="1" fillId="0" borderId="6301" xfId="0" applyNumberFormat="1" applyFont="1" applyBorder="1" applyAlignment="1">
      <alignment horizontal="right"/>
    </xf>
    <xf numFmtId="164" fontId="1" fillId="0" borderId="6302" xfId="0" applyNumberFormat="1" applyFont="1" applyBorder="1" applyAlignment="1">
      <alignment horizontal="right"/>
    </xf>
    <xf numFmtId="164" fontId="1" fillId="0" borderId="6310" xfId="0" applyNumberFormat="1" applyFont="1" applyBorder="1" applyAlignment="1">
      <alignment horizontal="right"/>
    </xf>
    <xf numFmtId="164" fontId="1" fillId="0" borderId="6311" xfId="0" applyNumberFormat="1" applyFont="1" applyBorder="1" applyAlignment="1">
      <alignment horizontal="right"/>
    </xf>
    <xf numFmtId="164" fontId="1" fillId="0" borderId="6312" xfId="0" applyNumberFormat="1" applyFont="1" applyBorder="1" applyAlignment="1">
      <alignment horizontal="right"/>
    </xf>
    <xf numFmtId="164" fontId="1" fillId="0" borderId="6313" xfId="0" applyNumberFormat="1" applyFont="1" applyBorder="1" applyAlignment="1">
      <alignment horizontal="right"/>
    </xf>
    <xf numFmtId="164" fontId="1" fillId="0" borderId="6314" xfId="0" applyNumberFormat="1" applyFont="1" applyBorder="1" applyAlignment="1">
      <alignment horizontal="right"/>
    </xf>
    <xf numFmtId="164" fontId="1" fillId="0" borderId="6315" xfId="0" applyNumberFormat="1" applyFont="1" applyBorder="1" applyAlignment="1">
      <alignment horizontal="right"/>
    </xf>
    <xf numFmtId="164" fontId="1" fillId="0" borderId="6316" xfId="0" applyNumberFormat="1" applyFont="1" applyBorder="1" applyAlignment="1">
      <alignment horizontal="right"/>
    </xf>
    <xf numFmtId="164" fontId="1" fillId="0" borderId="0" xfId="0" applyNumberFormat="1" applyFont="1" applyAlignment="1">
      <alignment horizontal="left"/>
    </xf>
    <xf numFmtId="164" fontId="1" fillId="0" borderId="6613" xfId="0" applyNumberFormat="1" applyFont="1" applyBorder="1"/>
    <xf numFmtId="164" fontId="6229" fillId="0" borderId="6614" xfId="0" applyNumberFormat="1" applyFont="1" applyBorder="1"/>
    <xf numFmtId="164" fontId="6230" fillId="0" borderId="6615" xfId="0" applyNumberFormat="1" applyFont="1" applyBorder="1"/>
    <xf numFmtId="164" fontId="6231" fillId="0" borderId="6616" xfId="0" applyNumberFormat="1" applyFont="1" applyBorder="1"/>
    <xf numFmtId="164" fontId="6232" fillId="0" borderId="6617" xfId="0" applyNumberFormat="1" applyFont="1" applyBorder="1"/>
    <xf numFmtId="164" fontId="6233" fillId="0" borderId="6618" xfId="0" applyNumberFormat="1" applyFont="1" applyBorder="1"/>
    <xf numFmtId="164" fontId="6234" fillId="0" borderId="6619" xfId="0" applyNumberFormat="1" applyFont="1" applyBorder="1"/>
    <xf numFmtId="164" fontId="6235" fillId="0" borderId="6620" xfId="0" applyNumberFormat="1" applyFont="1" applyBorder="1"/>
    <xf numFmtId="164" fontId="6154" fillId="0" borderId="6517" xfId="0" applyNumberFormat="1" applyFont="1" applyBorder="1"/>
    <xf numFmtId="164" fontId="6151" fillId="0" borderId="6514" xfId="0" applyNumberFormat="1" applyFont="1" applyBorder="1"/>
    <xf numFmtId="164" fontId="6152" fillId="0" borderId="6515" xfId="0" applyNumberFormat="1" applyFont="1" applyBorder="1"/>
    <xf numFmtId="164" fontId="6153" fillId="0" borderId="6516" xfId="0" applyNumberFormat="1" applyFont="1" applyBorder="1"/>
    <xf numFmtId="164" fontId="6106" fillId="0" borderId="6469" xfId="0" applyNumberFormat="1" applyFont="1" applyBorder="1"/>
    <xf numFmtId="164" fontId="6121" fillId="0" borderId="6484" xfId="0" applyNumberFormat="1" applyFont="1" applyBorder="1"/>
    <xf numFmtId="164" fontId="6136" fillId="0" borderId="6499" xfId="0" applyNumberFormat="1" applyFont="1" applyBorder="1"/>
    <xf numFmtId="164" fontId="6107" fillId="0" borderId="6470" xfId="0" applyNumberFormat="1" applyFont="1" applyBorder="1"/>
    <xf numFmtId="164" fontId="6122" fillId="0" borderId="6485" xfId="0" applyNumberFormat="1" applyFont="1" applyBorder="1"/>
    <xf numFmtId="164" fontId="6137" fillId="0" borderId="6500" xfId="0" applyNumberFormat="1" applyFont="1" applyBorder="1"/>
    <xf numFmtId="164" fontId="6108" fillId="0" borderId="6471" xfId="0" applyNumberFormat="1" applyFont="1" applyBorder="1"/>
    <xf numFmtId="164" fontId="6123" fillId="0" borderId="6486" xfId="0" applyNumberFormat="1" applyFont="1" applyBorder="1"/>
    <xf numFmtId="164" fontId="6138" fillId="0" borderId="6501" xfId="0" applyNumberFormat="1" applyFont="1" applyBorder="1"/>
    <xf numFmtId="164" fontId="6109" fillId="0" borderId="6472" xfId="0" applyNumberFormat="1" applyFont="1" applyBorder="1"/>
    <xf numFmtId="164" fontId="6124" fillId="0" borderId="6487" xfId="0" applyNumberFormat="1" applyFont="1" applyBorder="1"/>
    <xf numFmtId="164" fontId="6139" fillId="0" borderId="6502" xfId="0" applyNumberFormat="1" applyFont="1" applyBorder="1"/>
    <xf numFmtId="164" fontId="6110" fillId="0" borderId="6473" xfId="0" applyNumberFormat="1" applyFont="1" applyBorder="1"/>
    <xf numFmtId="164" fontId="6125" fillId="0" borderId="6488" xfId="0" applyNumberFormat="1" applyFont="1" applyBorder="1"/>
    <xf numFmtId="164" fontId="6140" fillId="0" borderId="6503" xfId="0" applyNumberFormat="1" applyFont="1" applyBorder="1"/>
    <xf numFmtId="164" fontId="6111" fillId="0" borderId="6474" xfId="0" applyNumberFormat="1" applyFont="1" applyBorder="1"/>
    <xf numFmtId="164" fontId="6126" fillId="0" borderId="6489" xfId="0" applyNumberFormat="1" applyFont="1" applyBorder="1"/>
    <xf numFmtId="164" fontId="6141" fillId="0" borderId="6504" xfId="0" applyNumberFormat="1" applyFont="1" applyBorder="1"/>
    <xf numFmtId="164" fontId="6112" fillId="0" borderId="6475" xfId="0" applyNumberFormat="1" applyFont="1" applyBorder="1"/>
    <xf numFmtId="164" fontId="6127" fillId="0" borderId="6490" xfId="0" applyNumberFormat="1" applyFont="1" applyBorder="1"/>
    <xf numFmtId="164" fontId="6142" fillId="0" borderId="6505" xfId="0" applyNumberFormat="1" applyFont="1" applyBorder="1"/>
    <xf numFmtId="164" fontId="6113" fillId="0" borderId="6476" xfId="0" applyNumberFormat="1" applyFont="1" applyBorder="1"/>
    <xf numFmtId="164" fontId="6128" fillId="0" borderId="6491" xfId="0" applyNumberFormat="1" applyFont="1" applyBorder="1"/>
    <xf numFmtId="164" fontId="6143" fillId="0" borderId="6506" xfId="0" applyNumberFormat="1" applyFont="1" applyBorder="1"/>
    <xf numFmtId="164" fontId="6114" fillId="0" borderId="6477" xfId="0" applyNumberFormat="1" applyFont="1" applyBorder="1"/>
    <xf numFmtId="164" fontId="6129" fillId="0" borderId="6492" xfId="0" applyNumberFormat="1" applyFont="1" applyBorder="1"/>
    <xf numFmtId="164" fontId="6144" fillId="0" borderId="6507" xfId="0" applyNumberFormat="1" applyFont="1" applyBorder="1"/>
    <xf numFmtId="164" fontId="6115" fillId="0" borderId="6478" xfId="0" applyNumberFormat="1" applyFont="1" applyBorder="1"/>
    <xf numFmtId="164" fontId="6130" fillId="0" borderId="6493" xfId="0" applyNumberFormat="1" applyFont="1" applyBorder="1"/>
    <xf numFmtId="164" fontId="6145" fillId="0" borderId="6508" xfId="0" applyNumberFormat="1" applyFont="1" applyBorder="1"/>
    <xf numFmtId="164" fontId="6116" fillId="0" borderId="6479" xfId="0" applyNumberFormat="1" applyFont="1" applyBorder="1"/>
    <xf numFmtId="164" fontId="6131" fillId="0" borderId="6494" xfId="0" applyNumberFormat="1" applyFont="1" applyBorder="1"/>
    <xf numFmtId="164" fontId="6146" fillId="0" borderId="6509" xfId="0" applyNumberFormat="1" applyFont="1" applyBorder="1"/>
    <xf numFmtId="164" fontId="6117" fillId="0" borderId="6480" xfId="0" applyNumberFormat="1" applyFont="1" applyBorder="1"/>
    <xf numFmtId="164" fontId="6132" fillId="0" borderId="6495" xfId="0" applyNumberFormat="1" applyFont="1" applyBorder="1"/>
    <xf numFmtId="164" fontId="6147" fillId="0" borderId="6510" xfId="0" applyNumberFormat="1" applyFont="1" applyBorder="1"/>
    <xf numFmtId="164" fontId="6118" fillId="0" borderId="6481" xfId="0" applyNumberFormat="1" applyFont="1" applyBorder="1"/>
    <xf numFmtId="164" fontId="6133" fillId="0" borderId="6496" xfId="0" applyNumberFormat="1" applyFont="1" applyBorder="1"/>
    <xf numFmtId="164" fontId="6148" fillId="0" borderId="6511" xfId="0" applyNumberFormat="1" applyFont="1" applyBorder="1"/>
    <xf numFmtId="164" fontId="6119" fillId="0" borderId="6482" xfId="0" applyNumberFormat="1" applyFont="1" applyBorder="1"/>
    <xf numFmtId="164" fontId="6134" fillId="0" borderId="6497" xfId="0" applyNumberFormat="1" applyFont="1" applyBorder="1"/>
    <xf numFmtId="164" fontId="6149" fillId="0" borderId="6512" xfId="0" applyNumberFormat="1" applyFont="1" applyBorder="1"/>
    <xf numFmtId="164" fontId="6120" fillId="0" borderId="6483" xfId="0" applyNumberFormat="1" applyFont="1" applyBorder="1"/>
    <xf numFmtId="164" fontId="6135" fillId="0" borderId="6498" xfId="0" applyNumberFormat="1" applyFont="1" applyBorder="1"/>
    <xf numFmtId="164" fontId="6150" fillId="0" borderId="6513" xfId="0" applyNumberFormat="1" applyFont="1" applyBorder="1"/>
    <xf numFmtId="164" fontId="6179" fillId="0" borderId="6563" xfId="0" applyNumberFormat="1" applyFont="1" applyBorder="1"/>
    <xf numFmtId="164" fontId="6176" fillId="0" borderId="6560" xfId="0" applyNumberFormat="1" applyFont="1" applyBorder="1"/>
    <xf numFmtId="164" fontId="6177" fillId="0" borderId="6561" xfId="0" applyNumberFormat="1" applyFont="1" applyBorder="1"/>
    <xf numFmtId="164" fontId="6178" fillId="0" borderId="6562" xfId="0" applyNumberFormat="1" applyFont="1" applyBorder="1"/>
    <xf numFmtId="164" fontId="6155" fillId="0" borderId="6518" xfId="0" applyNumberFormat="1" applyFont="1" applyBorder="1"/>
    <xf numFmtId="164" fontId="6162" fillId="0" borderId="6532" xfId="0" applyNumberFormat="1" applyFont="1" applyBorder="1"/>
    <xf numFmtId="164" fontId="6169" fillId="0" borderId="6546" xfId="0" applyNumberFormat="1" applyFont="1" applyBorder="1"/>
    <xf numFmtId="164" fontId="6156" fillId="0" borderId="6519" xfId="0" applyNumberFormat="1" applyFont="1" applyBorder="1"/>
    <xf numFmtId="164" fontId="6163" fillId="0" borderId="6533" xfId="0" applyNumberFormat="1" applyFont="1" applyBorder="1"/>
    <xf numFmtId="164" fontId="6170" fillId="0" borderId="6547" xfId="0" applyNumberFormat="1" applyFont="1" applyBorder="1"/>
    <xf numFmtId="164" fontId="6157" fillId="0" borderId="6520" xfId="0" applyNumberFormat="1" applyFont="1" applyBorder="1"/>
    <xf numFmtId="164" fontId="6164" fillId="0" borderId="6534" xfId="0" applyNumberFormat="1" applyFont="1" applyBorder="1"/>
    <xf numFmtId="164" fontId="6171" fillId="0" borderId="6548" xfId="0" applyNumberFormat="1" applyFont="1" applyBorder="1"/>
    <xf numFmtId="164" fontId="6158" fillId="0" borderId="6521" xfId="0" applyNumberFormat="1" applyFont="1" applyBorder="1"/>
    <xf numFmtId="164" fontId="6165" fillId="0" borderId="6535" xfId="0" applyNumberFormat="1" applyFont="1" applyBorder="1"/>
    <xf numFmtId="164" fontId="6172" fillId="0" borderId="6549" xfId="0" applyNumberFormat="1" applyFont="1" applyBorder="1"/>
    <xf numFmtId="164" fontId="6159" fillId="0" borderId="6522" xfId="0" applyNumberFormat="1" applyFont="1" applyBorder="1"/>
    <xf numFmtId="164" fontId="6166" fillId="0" borderId="6536" xfId="0" applyNumberFormat="1" applyFont="1" applyBorder="1"/>
    <xf numFmtId="164" fontId="6173" fillId="0" borderId="6550" xfId="0" applyNumberFormat="1" applyFont="1" applyBorder="1"/>
    <xf numFmtId="164" fontId="6160" fillId="0" borderId="6523" xfId="0" applyNumberFormat="1" applyFont="1" applyBorder="1"/>
    <xf numFmtId="164" fontId="6167" fillId="0" borderId="6537" xfId="0" applyNumberFormat="1" applyFont="1" applyBorder="1"/>
    <xf numFmtId="164" fontId="6174" fillId="0" borderId="6551" xfId="0" applyNumberFormat="1" applyFont="1" applyBorder="1"/>
    <xf numFmtId="164" fontId="6161" fillId="0" borderId="6531" xfId="0" applyNumberFormat="1" applyFont="1" applyBorder="1"/>
    <xf numFmtId="164" fontId="6168" fillId="0" borderId="6545" xfId="0" applyNumberFormat="1" applyFont="1" applyBorder="1"/>
    <xf numFmtId="164" fontId="6175" fillId="0" borderId="6559" xfId="0" applyNumberFormat="1" applyFont="1" applyBorder="1"/>
    <xf numFmtId="164" fontId="6228" fillId="0" borderId="6612" xfId="0" applyNumberFormat="1" applyFont="1" applyBorder="1"/>
    <xf numFmtId="164" fontId="6225" fillId="0" borderId="6609" xfId="0" applyNumberFormat="1" applyFont="1" applyBorder="1"/>
    <xf numFmtId="164" fontId="6226" fillId="0" borderId="6610" xfId="0" applyNumberFormat="1" applyFont="1" applyBorder="1"/>
    <xf numFmtId="164" fontId="6227" fillId="0" borderId="6611" xfId="0" applyNumberFormat="1" applyFont="1" applyBorder="1"/>
    <xf numFmtId="164" fontId="6180" fillId="0" borderId="6564" xfId="0" applyNumberFormat="1" applyFont="1" applyBorder="1"/>
    <xf numFmtId="164" fontId="6195" fillId="0" borderId="6579" xfId="0" applyNumberFormat="1" applyFont="1" applyBorder="1"/>
    <xf numFmtId="164" fontId="6210" fillId="0" borderId="6594" xfId="0" applyNumberFormat="1" applyFont="1" applyBorder="1"/>
    <xf numFmtId="164" fontId="6181" fillId="0" borderId="6565" xfId="0" applyNumberFormat="1" applyFont="1" applyBorder="1"/>
    <xf numFmtId="164" fontId="6196" fillId="0" borderId="6580" xfId="0" applyNumberFormat="1" applyFont="1" applyBorder="1"/>
    <xf numFmtId="164" fontId="6211" fillId="0" borderId="6595" xfId="0" applyNumberFormat="1" applyFont="1" applyBorder="1"/>
    <xf numFmtId="164" fontId="6182" fillId="0" borderId="6566" xfId="0" applyNumberFormat="1" applyFont="1" applyBorder="1"/>
    <xf numFmtId="164" fontId="6197" fillId="0" borderId="6581" xfId="0" applyNumberFormat="1" applyFont="1" applyBorder="1"/>
    <xf numFmtId="164" fontId="6212" fillId="0" borderId="6596" xfId="0" applyNumberFormat="1" applyFont="1" applyBorder="1"/>
    <xf numFmtId="164" fontId="6183" fillId="0" borderId="6567" xfId="0" applyNumberFormat="1" applyFont="1" applyBorder="1"/>
    <xf numFmtId="164" fontId="6198" fillId="0" borderId="6582" xfId="0" applyNumberFormat="1" applyFont="1" applyBorder="1"/>
    <xf numFmtId="164" fontId="6213" fillId="0" borderId="6597" xfId="0" applyNumberFormat="1" applyFont="1" applyBorder="1"/>
    <xf numFmtId="164" fontId="6184" fillId="0" borderId="6568" xfId="0" applyNumberFormat="1" applyFont="1" applyBorder="1"/>
    <xf numFmtId="164" fontId="6199" fillId="0" borderId="6583" xfId="0" applyNumberFormat="1" applyFont="1" applyBorder="1"/>
    <xf numFmtId="164" fontId="6214" fillId="0" borderId="6598" xfId="0" applyNumberFormat="1" applyFont="1" applyBorder="1"/>
    <xf numFmtId="164" fontId="6185" fillId="0" borderId="6569" xfId="0" applyNumberFormat="1" applyFont="1" applyBorder="1"/>
    <xf numFmtId="164" fontId="6200" fillId="0" borderId="6584" xfId="0" applyNumberFormat="1" applyFont="1" applyBorder="1"/>
    <xf numFmtId="164" fontId="6215" fillId="0" borderId="6599" xfId="0" applyNumberFormat="1" applyFont="1" applyBorder="1"/>
    <xf numFmtId="164" fontId="6186" fillId="0" borderId="6570" xfId="0" applyNumberFormat="1" applyFont="1" applyBorder="1"/>
    <xf numFmtId="164" fontId="6201" fillId="0" borderId="6585" xfId="0" applyNumberFormat="1" applyFont="1" applyBorder="1"/>
    <xf numFmtId="164" fontId="6216" fillId="0" borderId="6600" xfId="0" applyNumberFormat="1" applyFont="1" applyBorder="1"/>
    <xf numFmtId="164" fontId="6187" fillId="0" borderId="6571" xfId="0" applyNumberFormat="1" applyFont="1" applyBorder="1"/>
    <xf numFmtId="164" fontId="6202" fillId="0" borderId="6586" xfId="0" applyNumberFormat="1" applyFont="1" applyBorder="1"/>
    <xf numFmtId="164" fontId="6217" fillId="0" borderId="6601" xfId="0" applyNumberFormat="1" applyFont="1" applyBorder="1"/>
    <xf numFmtId="164" fontId="6188" fillId="0" borderId="6572" xfId="0" applyNumberFormat="1" applyFont="1" applyBorder="1"/>
    <xf numFmtId="164" fontId="6203" fillId="0" borderId="6587" xfId="0" applyNumberFormat="1" applyFont="1" applyBorder="1"/>
    <xf numFmtId="164" fontId="6218" fillId="0" borderId="6602" xfId="0" applyNumberFormat="1" applyFont="1" applyBorder="1"/>
    <xf numFmtId="164" fontId="6189" fillId="0" borderId="6573" xfId="0" applyNumberFormat="1" applyFont="1" applyBorder="1"/>
    <xf numFmtId="164" fontId="6204" fillId="0" borderId="6588" xfId="0" applyNumberFormat="1" applyFont="1" applyBorder="1"/>
    <xf numFmtId="164" fontId="6219" fillId="0" borderId="6603" xfId="0" applyNumberFormat="1" applyFont="1" applyBorder="1"/>
    <xf numFmtId="164" fontId="6190" fillId="0" borderId="6574" xfId="0" applyNumberFormat="1" applyFont="1" applyBorder="1"/>
    <xf numFmtId="164" fontId="6205" fillId="0" borderId="6589" xfId="0" applyNumberFormat="1" applyFont="1" applyBorder="1"/>
    <xf numFmtId="164" fontId="6220" fillId="0" borderId="6604" xfId="0" applyNumberFormat="1" applyFont="1" applyBorder="1"/>
    <xf numFmtId="164" fontId="6191" fillId="0" borderId="6575" xfId="0" applyNumberFormat="1" applyFont="1" applyBorder="1"/>
    <xf numFmtId="164" fontId="6206" fillId="0" borderId="6590" xfId="0" applyNumberFormat="1" applyFont="1" applyBorder="1"/>
    <xf numFmtId="164" fontId="6221" fillId="0" borderId="6605" xfId="0" applyNumberFormat="1" applyFont="1" applyBorder="1"/>
    <xf numFmtId="164" fontId="6192" fillId="0" borderId="6576" xfId="0" applyNumberFormat="1" applyFont="1" applyBorder="1"/>
    <xf numFmtId="164" fontId="6207" fillId="0" borderId="6591" xfId="0" applyNumberFormat="1" applyFont="1" applyBorder="1"/>
    <xf numFmtId="164" fontId="6222" fillId="0" borderId="6606" xfId="0" applyNumberFormat="1" applyFont="1" applyBorder="1"/>
    <xf numFmtId="164" fontId="6193" fillId="0" borderId="6577" xfId="0" applyNumberFormat="1" applyFont="1" applyBorder="1"/>
    <xf numFmtId="164" fontId="6208" fillId="0" borderId="6592" xfId="0" applyNumberFormat="1" applyFont="1" applyBorder="1"/>
    <xf numFmtId="164" fontId="6223" fillId="0" borderId="6607" xfId="0" applyNumberFormat="1" applyFont="1" applyBorder="1"/>
    <xf numFmtId="164" fontId="6194" fillId="0" borderId="6578" xfId="0" applyNumberFormat="1" applyFont="1" applyBorder="1"/>
    <xf numFmtId="164" fontId="6209" fillId="0" borderId="6593" xfId="0" applyNumberFormat="1" applyFont="1" applyBorder="1"/>
    <xf numFmtId="164" fontId="6224" fillId="0" borderId="6608" xfId="0" applyNumberFormat="1" applyFont="1" applyBorder="1"/>
    <xf numFmtId="164" fontId="1" fillId="0" borderId="0" xfId="0" applyNumberFormat="1" applyFont="1"/>
    <xf numFmtId="164" fontId="1" fillId="0" borderId="6524" xfId="0" applyNumberFormat="1" applyFont="1" applyBorder="1"/>
    <xf numFmtId="164" fontId="1" fillId="0" borderId="6525" xfId="0" applyNumberFormat="1" applyFont="1" applyBorder="1"/>
    <xf numFmtId="164" fontId="1" fillId="0" borderId="6526" xfId="0" applyNumberFormat="1" applyFont="1" applyBorder="1"/>
    <xf numFmtId="164" fontId="1" fillId="0" borderId="6527" xfId="0" applyNumberFormat="1" applyFont="1" applyBorder="1"/>
    <xf numFmtId="164" fontId="1" fillId="0" borderId="6528" xfId="0" applyNumberFormat="1" applyFont="1" applyBorder="1"/>
    <xf numFmtId="164" fontId="1" fillId="0" borderId="6529" xfId="0" applyNumberFormat="1" applyFont="1" applyBorder="1"/>
    <xf numFmtId="164" fontId="1" fillId="0" borderId="6530" xfId="0" applyNumberFormat="1" applyFont="1" applyBorder="1"/>
    <xf numFmtId="164" fontId="1" fillId="0" borderId="6538" xfId="0" applyNumberFormat="1" applyFont="1" applyBorder="1"/>
    <xf numFmtId="164" fontId="1" fillId="0" borderId="6539" xfId="0" applyNumberFormat="1" applyFont="1" applyBorder="1"/>
    <xf numFmtId="164" fontId="1" fillId="0" borderId="6540" xfId="0" applyNumberFormat="1" applyFont="1" applyBorder="1"/>
    <xf numFmtId="164" fontId="1" fillId="0" borderId="6541" xfId="0" applyNumberFormat="1" applyFont="1" applyBorder="1"/>
    <xf numFmtId="164" fontId="1" fillId="0" borderId="6542" xfId="0" applyNumberFormat="1" applyFont="1" applyBorder="1"/>
    <xf numFmtId="164" fontId="1" fillId="0" borderId="6543" xfId="0" applyNumberFormat="1" applyFont="1" applyBorder="1"/>
    <xf numFmtId="164" fontId="1" fillId="0" borderId="6544" xfId="0" applyNumberFormat="1" applyFont="1" applyBorder="1"/>
    <xf numFmtId="164" fontId="1" fillId="0" borderId="6552" xfId="0" applyNumberFormat="1" applyFont="1" applyBorder="1"/>
    <xf numFmtId="164" fontId="1" fillId="0" borderId="6553" xfId="0" applyNumberFormat="1" applyFont="1" applyBorder="1"/>
    <xf numFmtId="164" fontId="1" fillId="0" borderId="6554" xfId="0" applyNumberFormat="1" applyFont="1" applyBorder="1"/>
    <xf numFmtId="164" fontId="1" fillId="0" borderId="6555" xfId="0" applyNumberFormat="1" applyFont="1" applyBorder="1"/>
    <xf numFmtId="164" fontId="1" fillId="0" borderId="6556" xfId="0" applyNumberFormat="1" applyFont="1" applyBorder="1"/>
    <xf numFmtId="164" fontId="1" fillId="0" borderId="6557" xfId="0" applyNumberFormat="1" applyFont="1" applyBorder="1"/>
    <xf numFmtId="164" fontId="1" fillId="0" borderId="6558" xfId="0" applyNumberFormat="1" applyFont="1" applyBorder="1"/>
    <xf numFmtId="164" fontId="5785" fillId="0" borderId="6121" xfId="0" applyNumberFormat="1" applyFont="1" applyBorder="1"/>
    <xf numFmtId="164" fontId="5785" fillId="0" borderId="6122" xfId="0" applyNumberFormat="1" applyFont="1" applyBorder="1"/>
    <xf numFmtId="164" fontId="5785" fillId="0" borderId="6123" xfId="0" applyNumberFormat="1" applyFont="1" applyBorder="1"/>
    <xf numFmtId="164" fontId="5785" fillId="0" borderId="6124" xfId="0" applyNumberFormat="1" applyFont="1" applyBorder="1"/>
    <xf numFmtId="164" fontId="5785" fillId="0" borderId="6125" xfId="0" applyNumberFormat="1" applyFont="1" applyBorder="1"/>
    <xf numFmtId="164" fontId="5785" fillId="0" borderId="6126" xfId="0" applyNumberFormat="1" applyFont="1" applyBorder="1"/>
    <xf numFmtId="164" fontId="5785" fillId="0" borderId="6127" xfId="0" applyNumberFormat="1" applyFont="1" applyBorder="1"/>
    <xf numFmtId="164" fontId="5785" fillId="0" borderId="6128" xfId="0" applyNumberFormat="1" applyFont="1" applyBorder="1"/>
    <xf numFmtId="164" fontId="5786" fillId="0" borderId="0" xfId="0" applyNumberFormat="1" applyFont="1"/>
    <xf numFmtId="164" fontId="11" fillId="0" borderId="11" xfId="0" applyNumberFormat="1" applyFont="1" applyBorder="1" applyAlignment="1">
      <alignment horizontal="right"/>
    </xf>
    <xf numFmtId="164" fontId="96" fillId="0" borderId="103" xfId="0" applyNumberFormat="1" applyFont="1" applyBorder="1" applyAlignment="1">
      <alignment horizontal="right"/>
    </xf>
    <xf numFmtId="164" fontId="179" fillId="0" borderId="193" xfId="0" applyNumberFormat="1" applyFont="1" applyBorder="1" applyAlignment="1">
      <alignment horizontal="right"/>
    </xf>
    <xf numFmtId="164" fontId="256" fillId="0" borderId="277" xfId="0" applyNumberFormat="1" applyFont="1" applyBorder="1" applyAlignment="1">
      <alignment horizontal="right"/>
    </xf>
    <xf numFmtId="164" fontId="12" fillId="0" borderId="12" xfId="0" applyNumberFormat="1" applyFont="1" applyBorder="1" applyAlignment="1">
      <alignment horizontal="right"/>
    </xf>
    <xf numFmtId="164" fontId="97" fillId="0" borderId="104" xfId="0" applyNumberFormat="1" applyFont="1" applyBorder="1" applyAlignment="1">
      <alignment horizontal="right"/>
    </xf>
    <xf numFmtId="164" fontId="180" fillId="0" borderId="194" xfId="0" applyNumberFormat="1" applyFont="1" applyBorder="1" applyAlignment="1">
      <alignment horizontal="right"/>
    </xf>
    <xf numFmtId="164" fontId="257" fillId="0" borderId="278" xfId="0" applyNumberFormat="1" applyFont="1" applyBorder="1" applyAlignment="1">
      <alignment horizontal="right"/>
    </xf>
    <xf numFmtId="164" fontId="13" fillId="0" borderId="13" xfId="0" applyNumberFormat="1" applyFont="1" applyBorder="1" applyAlignment="1">
      <alignment horizontal="right"/>
    </xf>
    <xf numFmtId="164" fontId="98" fillId="0" borderId="105" xfId="0" applyNumberFormat="1" applyFont="1" applyBorder="1" applyAlignment="1">
      <alignment horizontal="right"/>
    </xf>
    <xf numFmtId="164" fontId="181" fillId="0" borderId="195" xfId="0" applyNumberFormat="1" applyFont="1" applyBorder="1" applyAlignment="1">
      <alignment horizontal="right"/>
    </xf>
    <xf numFmtId="164" fontId="258" fillId="0" borderId="279" xfId="0" applyNumberFormat="1" applyFont="1" applyBorder="1" applyAlignment="1">
      <alignment horizontal="right"/>
    </xf>
    <xf numFmtId="164" fontId="14" fillId="0" borderId="14" xfId="0" applyNumberFormat="1" applyFont="1" applyBorder="1" applyAlignment="1">
      <alignment horizontal="right"/>
    </xf>
    <xf numFmtId="164" fontId="99" fillId="0" borderId="106" xfId="0" applyNumberFormat="1" applyFont="1" applyBorder="1" applyAlignment="1">
      <alignment horizontal="right"/>
    </xf>
    <xf numFmtId="164" fontId="182" fillId="0" borderId="196" xfId="0" applyNumberFormat="1" applyFont="1" applyBorder="1" applyAlignment="1">
      <alignment horizontal="right"/>
    </xf>
    <xf numFmtId="164" fontId="259" fillId="0" borderId="280" xfId="0" applyNumberFormat="1" applyFont="1" applyBorder="1" applyAlignment="1">
      <alignment horizontal="right"/>
    </xf>
    <xf numFmtId="164" fontId="15" fillId="0" borderId="15" xfId="0" applyNumberFormat="1" applyFont="1" applyBorder="1" applyAlignment="1">
      <alignment horizontal="right"/>
    </xf>
    <xf numFmtId="164" fontId="100" fillId="0" borderId="107" xfId="0" applyNumberFormat="1" applyFont="1" applyBorder="1" applyAlignment="1">
      <alignment horizontal="right"/>
    </xf>
    <xf numFmtId="164" fontId="183" fillId="0" borderId="197" xfId="0" applyNumberFormat="1" applyFont="1" applyBorder="1" applyAlignment="1">
      <alignment horizontal="right"/>
    </xf>
    <xf numFmtId="164" fontId="260" fillId="0" borderId="281" xfId="0" applyNumberFormat="1" applyFont="1" applyBorder="1" applyAlignment="1">
      <alignment horizontal="right"/>
    </xf>
    <xf numFmtId="164" fontId="16" fillId="0" borderId="16" xfId="0" applyNumberFormat="1" applyFont="1" applyBorder="1" applyAlignment="1">
      <alignment horizontal="right"/>
    </xf>
    <xf numFmtId="164" fontId="101" fillId="0" borderId="108" xfId="0" applyNumberFormat="1" applyFont="1" applyBorder="1" applyAlignment="1">
      <alignment horizontal="right"/>
    </xf>
    <xf numFmtId="164" fontId="184" fillId="0" borderId="198" xfId="0" applyNumberFormat="1" applyFont="1" applyBorder="1" applyAlignment="1">
      <alignment horizontal="right"/>
    </xf>
    <xf numFmtId="164" fontId="261" fillId="0" borderId="282" xfId="0" applyNumberFormat="1" applyFont="1" applyBorder="1" applyAlignment="1">
      <alignment horizontal="right"/>
    </xf>
    <xf numFmtId="164" fontId="17" fillId="0" borderId="17" xfId="0" applyNumberFormat="1" applyFont="1" applyBorder="1" applyAlignment="1">
      <alignment horizontal="right"/>
    </xf>
    <xf numFmtId="164" fontId="102" fillId="0" borderId="109" xfId="0" applyNumberFormat="1" applyFont="1" applyBorder="1" applyAlignment="1">
      <alignment horizontal="right"/>
    </xf>
    <xf numFmtId="164" fontId="185" fillId="0" borderId="199" xfId="0" applyNumberFormat="1" applyFont="1" applyBorder="1" applyAlignment="1">
      <alignment horizontal="right"/>
    </xf>
    <xf numFmtId="164" fontId="262" fillId="0" borderId="283" xfId="0" applyNumberFormat="1" applyFont="1" applyBorder="1" applyAlignment="1">
      <alignment horizontal="right"/>
    </xf>
    <xf numFmtId="164" fontId="18" fillId="0" borderId="18" xfId="0" applyNumberFormat="1" applyFont="1" applyBorder="1" applyAlignment="1">
      <alignment horizontal="right"/>
    </xf>
    <xf numFmtId="164" fontId="103" fillId="0" borderId="110" xfId="0" applyNumberFormat="1" applyFont="1" applyBorder="1" applyAlignment="1">
      <alignment horizontal="right"/>
    </xf>
    <xf numFmtId="164" fontId="186" fillId="0" borderId="200" xfId="0" applyNumberFormat="1" applyFont="1" applyBorder="1" applyAlignment="1">
      <alignment horizontal="right"/>
    </xf>
    <xf numFmtId="164" fontId="263" fillId="0" borderId="284" xfId="0" applyNumberFormat="1" applyFont="1" applyBorder="1" applyAlignment="1">
      <alignment horizontal="right"/>
    </xf>
    <xf numFmtId="164" fontId="19" fillId="0" borderId="19" xfId="0" applyNumberFormat="1" applyFont="1" applyBorder="1" applyAlignment="1">
      <alignment horizontal="right"/>
    </xf>
    <xf numFmtId="164" fontId="104" fillId="0" borderId="111" xfId="0" applyNumberFormat="1" applyFont="1" applyBorder="1" applyAlignment="1">
      <alignment horizontal="right"/>
    </xf>
    <xf numFmtId="164" fontId="187" fillId="0" borderId="201" xfId="0" applyNumberFormat="1" applyFont="1" applyBorder="1" applyAlignment="1">
      <alignment horizontal="right"/>
    </xf>
    <xf numFmtId="164" fontId="264" fillId="0" borderId="285" xfId="0" applyNumberFormat="1" applyFont="1" applyBorder="1" applyAlignment="1">
      <alignment horizontal="right"/>
    </xf>
    <xf numFmtId="164" fontId="20" fillId="0" borderId="20" xfId="0" applyNumberFormat="1" applyFont="1" applyBorder="1" applyAlignment="1">
      <alignment horizontal="right"/>
    </xf>
    <xf numFmtId="164" fontId="105" fillId="0" borderId="112" xfId="0" applyNumberFormat="1" applyFont="1" applyBorder="1" applyAlignment="1">
      <alignment horizontal="right"/>
    </xf>
    <xf numFmtId="164" fontId="188" fillId="0" borderId="202" xfId="0" applyNumberFormat="1" applyFont="1" applyBorder="1" applyAlignment="1">
      <alignment horizontal="right"/>
    </xf>
    <xf numFmtId="164" fontId="265" fillId="0" borderId="286" xfId="0" applyNumberFormat="1" applyFont="1" applyBorder="1" applyAlignment="1">
      <alignment horizontal="right"/>
    </xf>
    <xf numFmtId="164" fontId="21" fillId="0" borderId="21" xfId="0" applyNumberFormat="1" applyFont="1" applyBorder="1" applyAlignment="1">
      <alignment horizontal="right"/>
    </xf>
    <xf numFmtId="164" fontId="106" fillId="0" borderId="113" xfId="0" applyNumberFormat="1" applyFont="1" applyBorder="1" applyAlignment="1">
      <alignment horizontal="right"/>
    </xf>
    <xf numFmtId="164" fontId="189" fillId="0" borderId="203" xfId="0" applyNumberFormat="1" applyFont="1" applyBorder="1" applyAlignment="1">
      <alignment horizontal="right"/>
    </xf>
    <xf numFmtId="164" fontId="266" fillId="0" borderId="287" xfId="0" applyNumberFormat="1" applyFont="1" applyBorder="1" applyAlignment="1">
      <alignment horizontal="right"/>
    </xf>
    <xf numFmtId="164" fontId="22" fillId="0" borderId="22" xfId="0" applyNumberFormat="1" applyFont="1" applyBorder="1" applyAlignment="1">
      <alignment horizontal="right"/>
    </xf>
    <xf numFmtId="164" fontId="107" fillId="0" borderId="114" xfId="0" applyNumberFormat="1" applyFont="1" applyBorder="1" applyAlignment="1">
      <alignment horizontal="right"/>
    </xf>
    <xf numFmtId="164" fontId="190" fillId="0" borderId="204" xfId="0" applyNumberFormat="1" applyFont="1" applyBorder="1" applyAlignment="1">
      <alignment horizontal="right"/>
    </xf>
    <xf numFmtId="164" fontId="267" fillId="0" borderId="288" xfId="0" applyNumberFormat="1" applyFont="1" applyBorder="1" applyAlignment="1">
      <alignment horizontal="right"/>
    </xf>
    <xf numFmtId="164" fontId="23" fillId="0" borderId="23" xfId="0" applyNumberFormat="1" applyFont="1" applyBorder="1" applyAlignment="1">
      <alignment horizontal="right"/>
    </xf>
    <xf numFmtId="164" fontId="108" fillId="0" borderId="115" xfId="0" applyNumberFormat="1" applyFont="1" applyBorder="1" applyAlignment="1">
      <alignment horizontal="right"/>
    </xf>
    <xf numFmtId="164" fontId="191" fillId="0" borderId="205" xfId="0" applyNumberFormat="1" applyFont="1" applyBorder="1" applyAlignment="1">
      <alignment horizontal="right"/>
    </xf>
    <xf numFmtId="164" fontId="268" fillId="0" borderId="289" xfId="0" applyNumberFormat="1" applyFont="1" applyBorder="1" applyAlignment="1">
      <alignment horizontal="right"/>
    </xf>
    <xf numFmtId="164" fontId="24" fillId="0" borderId="24" xfId="0" applyNumberFormat="1" applyFont="1" applyBorder="1" applyAlignment="1">
      <alignment horizontal="right"/>
    </xf>
    <xf numFmtId="164" fontId="109" fillId="0" borderId="116" xfId="0" applyNumberFormat="1" applyFont="1" applyBorder="1" applyAlignment="1">
      <alignment horizontal="right"/>
    </xf>
    <xf numFmtId="164" fontId="192" fillId="0" borderId="206" xfId="0" applyNumberFormat="1" applyFont="1" applyBorder="1" applyAlignment="1">
      <alignment horizontal="right"/>
    </xf>
    <xf numFmtId="164" fontId="269" fillId="0" borderId="290" xfId="0" applyNumberFormat="1" applyFont="1" applyBorder="1" applyAlignment="1">
      <alignment horizontal="right"/>
    </xf>
    <xf numFmtId="164" fontId="25" fillId="0" borderId="25" xfId="0" applyNumberFormat="1" applyFont="1" applyBorder="1" applyAlignment="1">
      <alignment horizontal="right"/>
    </xf>
    <xf numFmtId="164" fontId="110" fillId="0" borderId="117" xfId="0" applyNumberFormat="1" applyFont="1" applyBorder="1" applyAlignment="1">
      <alignment horizontal="right"/>
    </xf>
    <xf numFmtId="164" fontId="193" fillId="0" borderId="207" xfId="0" applyNumberFormat="1" applyFont="1" applyBorder="1" applyAlignment="1">
      <alignment horizontal="right"/>
    </xf>
    <xf numFmtId="164" fontId="270" fillId="0" borderId="291" xfId="0" applyNumberFormat="1" applyFont="1" applyBorder="1" applyAlignment="1">
      <alignment horizontal="right"/>
    </xf>
    <xf numFmtId="164" fontId="1" fillId="0" borderId="1" xfId="0" applyNumberFormat="1" applyFont="1" applyBorder="1" applyAlignment="1">
      <alignment horizontal="right"/>
    </xf>
    <xf numFmtId="164" fontId="86" fillId="0" borderId="93" xfId="0" applyNumberFormat="1" applyFont="1" applyBorder="1" applyAlignment="1">
      <alignment horizontal="right"/>
    </xf>
    <xf numFmtId="164" fontId="171" fillId="0" borderId="185" xfId="0" applyNumberFormat="1" applyFont="1" applyBorder="1" applyAlignment="1">
      <alignment horizontal="right"/>
    </xf>
    <xf numFmtId="164" fontId="246" fillId="0" borderId="267" xfId="0" applyNumberFormat="1" applyFont="1" applyBorder="1" applyAlignment="1">
      <alignment horizontal="right"/>
    </xf>
    <xf numFmtId="164" fontId="31" fillId="0" borderId="31" xfId="0" applyNumberFormat="1" applyFont="1" applyBorder="1" applyAlignment="1">
      <alignment horizontal="right"/>
    </xf>
    <xf numFmtId="164" fontId="116" fillId="0" borderId="123" xfId="0" applyNumberFormat="1" applyFont="1" applyBorder="1" applyAlignment="1">
      <alignment horizontal="right"/>
    </xf>
    <xf numFmtId="164" fontId="197" fillId="0" borderId="211" xfId="0" applyNumberFormat="1" applyFont="1" applyBorder="1" applyAlignment="1">
      <alignment horizontal="right"/>
    </xf>
    <xf numFmtId="164" fontId="276" fillId="0" borderId="297" xfId="0" applyNumberFormat="1" applyFont="1" applyBorder="1" applyAlignment="1">
      <alignment horizontal="right"/>
    </xf>
    <xf numFmtId="164" fontId="32" fillId="0" borderId="32" xfId="0" applyNumberFormat="1" applyFont="1" applyBorder="1" applyAlignment="1">
      <alignment horizontal="right"/>
    </xf>
    <xf numFmtId="164" fontId="117" fillId="0" borderId="124" xfId="0" applyNumberFormat="1" applyFont="1" applyBorder="1" applyAlignment="1">
      <alignment horizontal="right"/>
    </xf>
    <xf numFmtId="164" fontId="198" fillId="0" borderId="212" xfId="0" applyNumberFormat="1" applyFont="1" applyBorder="1" applyAlignment="1">
      <alignment horizontal="right"/>
    </xf>
    <xf numFmtId="164" fontId="277" fillId="0" borderId="298" xfId="0" applyNumberFormat="1" applyFont="1" applyBorder="1" applyAlignment="1">
      <alignment horizontal="right"/>
    </xf>
    <xf numFmtId="164" fontId="33" fillId="0" borderId="33" xfId="0" applyNumberFormat="1" applyFont="1" applyBorder="1" applyAlignment="1">
      <alignment horizontal="right"/>
    </xf>
    <xf numFmtId="164" fontId="118" fillId="0" borderId="125" xfId="0" applyNumberFormat="1" applyFont="1" applyBorder="1" applyAlignment="1">
      <alignment horizontal="right"/>
    </xf>
    <xf numFmtId="164" fontId="199" fillId="0" borderId="213" xfId="0" applyNumberFormat="1" applyFont="1" applyBorder="1" applyAlignment="1">
      <alignment horizontal="right"/>
    </xf>
    <xf numFmtId="164" fontId="278" fillId="0" borderId="299" xfId="0" applyNumberFormat="1" applyFont="1" applyBorder="1" applyAlignment="1">
      <alignment horizontal="right"/>
    </xf>
    <xf numFmtId="164" fontId="34" fillId="0" borderId="34" xfId="0" applyNumberFormat="1" applyFont="1" applyBorder="1" applyAlignment="1">
      <alignment horizontal="right"/>
    </xf>
    <xf numFmtId="164" fontId="119" fillId="0" borderId="126" xfId="0" applyNumberFormat="1" applyFont="1" applyBorder="1" applyAlignment="1">
      <alignment horizontal="right"/>
    </xf>
    <xf numFmtId="164" fontId="200" fillId="0" borderId="214" xfId="0" applyNumberFormat="1" applyFont="1" applyBorder="1" applyAlignment="1">
      <alignment horizontal="right"/>
    </xf>
    <xf numFmtId="164" fontId="279" fillId="0" borderId="300" xfId="0" applyNumberFormat="1" applyFont="1" applyBorder="1" applyAlignment="1">
      <alignment horizontal="right"/>
    </xf>
    <xf numFmtId="164" fontId="35" fillId="0" borderId="35" xfId="0" applyNumberFormat="1" applyFont="1" applyBorder="1" applyAlignment="1">
      <alignment horizontal="right"/>
    </xf>
    <xf numFmtId="164" fontId="120" fillId="0" borderId="127" xfId="0" applyNumberFormat="1" applyFont="1" applyBorder="1" applyAlignment="1">
      <alignment horizontal="right"/>
    </xf>
    <xf numFmtId="164" fontId="201" fillId="0" borderId="215" xfId="0" applyNumberFormat="1" applyFont="1" applyBorder="1" applyAlignment="1">
      <alignment horizontal="right"/>
    </xf>
    <xf numFmtId="164" fontId="280" fillId="0" borderId="301" xfId="0" applyNumberFormat="1" applyFont="1" applyBorder="1" applyAlignment="1">
      <alignment horizontal="right"/>
    </xf>
    <xf numFmtId="164" fontId="36" fillId="0" borderId="36" xfId="0" applyNumberFormat="1" applyFont="1" applyBorder="1" applyAlignment="1">
      <alignment horizontal="right"/>
    </xf>
    <xf numFmtId="164" fontId="121" fillId="0" borderId="128" xfId="0" applyNumberFormat="1" applyFont="1" applyBorder="1" applyAlignment="1">
      <alignment horizontal="right"/>
    </xf>
    <xf numFmtId="164" fontId="202" fillId="0" borderId="216" xfId="0" applyNumberFormat="1" applyFont="1" applyBorder="1" applyAlignment="1">
      <alignment horizontal="right"/>
    </xf>
    <xf numFmtId="164" fontId="281" fillId="0" borderId="302" xfId="0" applyNumberFormat="1" applyFont="1" applyBorder="1" applyAlignment="1">
      <alignment horizontal="right"/>
    </xf>
    <xf numFmtId="164" fontId="37" fillId="0" borderId="37" xfId="0" applyNumberFormat="1" applyFont="1" applyBorder="1" applyAlignment="1">
      <alignment horizontal="right"/>
    </xf>
    <xf numFmtId="164" fontId="122" fillId="0" borderId="129" xfId="0" applyNumberFormat="1" applyFont="1" applyBorder="1" applyAlignment="1">
      <alignment horizontal="right"/>
    </xf>
    <xf numFmtId="164" fontId="203" fillId="0" borderId="217" xfId="0" applyNumberFormat="1" applyFont="1" applyBorder="1" applyAlignment="1">
      <alignment horizontal="right"/>
    </xf>
    <xf numFmtId="164" fontId="282" fillId="0" borderId="303" xfId="0" applyNumberFormat="1" applyFont="1" applyBorder="1" applyAlignment="1">
      <alignment horizontal="right"/>
    </xf>
    <xf numFmtId="164" fontId="38" fillId="0" borderId="38" xfId="0" applyNumberFormat="1" applyFont="1" applyBorder="1" applyAlignment="1">
      <alignment horizontal="right"/>
    </xf>
    <xf numFmtId="164" fontId="123" fillId="0" borderId="130" xfId="0" applyNumberFormat="1" applyFont="1" applyBorder="1" applyAlignment="1">
      <alignment horizontal="right"/>
    </xf>
    <xf numFmtId="164" fontId="204" fillId="0" borderId="218" xfId="0" applyNumberFormat="1" applyFont="1" applyBorder="1" applyAlignment="1">
      <alignment horizontal="right"/>
    </xf>
    <xf numFmtId="164" fontId="283" fillId="0" borderId="304" xfId="0" applyNumberFormat="1" applyFont="1" applyBorder="1" applyAlignment="1">
      <alignment horizontal="right"/>
    </xf>
    <xf numFmtId="164" fontId="39" fillId="0" borderId="39" xfId="0" applyNumberFormat="1" applyFont="1" applyBorder="1" applyAlignment="1">
      <alignment horizontal="right"/>
    </xf>
    <xf numFmtId="164" fontId="124" fillId="0" borderId="131" xfId="0" applyNumberFormat="1" applyFont="1" applyBorder="1" applyAlignment="1">
      <alignment horizontal="right"/>
    </xf>
    <xf numFmtId="164" fontId="205" fillId="0" borderId="219" xfId="0" applyNumberFormat="1" applyFont="1" applyBorder="1" applyAlignment="1">
      <alignment horizontal="right"/>
    </xf>
    <xf numFmtId="164" fontId="284" fillId="0" borderId="305" xfId="0" applyNumberFormat="1" applyFont="1" applyBorder="1" applyAlignment="1">
      <alignment horizontal="right"/>
    </xf>
    <xf numFmtId="164" fontId="40" fillId="0" borderId="40" xfId="0" applyNumberFormat="1" applyFont="1" applyBorder="1" applyAlignment="1">
      <alignment horizontal="right"/>
    </xf>
    <xf numFmtId="164" fontId="125" fillId="0" borderId="132" xfId="0" applyNumberFormat="1" applyFont="1" applyBorder="1" applyAlignment="1">
      <alignment horizontal="right"/>
    </xf>
    <xf numFmtId="164" fontId="206" fillId="0" borderId="220" xfId="0" applyNumberFormat="1" applyFont="1" applyBorder="1" applyAlignment="1">
      <alignment horizontal="right"/>
    </xf>
    <xf numFmtId="164" fontId="285" fillId="0" borderId="306" xfId="0" applyNumberFormat="1" applyFont="1" applyBorder="1" applyAlignment="1">
      <alignment horizontal="right"/>
    </xf>
    <xf numFmtId="164" fontId="41" fillId="0" borderId="41" xfId="0" applyNumberFormat="1" applyFont="1" applyBorder="1" applyAlignment="1">
      <alignment horizontal="right"/>
    </xf>
    <xf numFmtId="164" fontId="126" fillId="0" borderId="133" xfId="0" applyNumberFormat="1" applyFont="1" applyBorder="1" applyAlignment="1">
      <alignment horizontal="right"/>
    </xf>
    <xf numFmtId="164" fontId="207" fillId="0" borderId="221" xfId="0" applyNumberFormat="1" applyFont="1" applyBorder="1" applyAlignment="1">
      <alignment horizontal="right"/>
    </xf>
    <xf numFmtId="164" fontId="286" fillId="0" borderId="307" xfId="0" applyNumberFormat="1" applyFont="1" applyBorder="1" applyAlignment="1">
      <alignment horizontal="right"/>
    </xf>
    <xf numFmtId="164" fontId="42" fillId="0" borderId="42" xfId="0" applyNumberFormat="1" applyFont="1" applyBorder="1" applyAlignment="1">
      <alignment horizontal="right"/>
    </xf>
    <xf numFmtId="164" fontId="127" fillId="0" borderId="134" xfId="0" applyNumberFormat="1" applyFont="1" applyBorder="1" applyAlignment="1">
      <alignment horizontal="right"/>
    </xf>
    <xf numFmtId="164" fontId="208" fillId="0" borderId="222" xfId="0" applyNumberFormat="1" applyFont="1" applyBorder="1" applyAlignment="1">
      <alignment horizontal="right"/>
    </xf>
    <xf numFmtId="164" fontId="287" fillId="0" borderId="308" xfId="0" applyNumberFormat="1" applyFont="1" applyBorder="1" applyAlignment="1">
      <alignment horizontal="right"/>
    </xf>
    <xf numFmtId="164" fontId="43" fillId="0" borderId="43" xfId="0" applyNumberFormat="1" applyFont="1" applyBorder="1" applyAlignment="1">
      <alignment horizontal="right"/>
    </xf>
    <xf numFmtId="164" fontId="128" fillId="0" borderId="135" xfId="0" applyNumberFormat="1" applyFont="1" applyBorder="1" applyAlignment="1">
      <alignment horizontal="right"/>
    </xf>
    <xf numFmtId="164" fontId="209" fillId="0" borderId="223" xfId="0" applyNumberFormat="1" applyFont="1" applyBorder="1" applyAlignment="1">
      <alignment horizontal="right"/>
    </xf>
    <xf numFmtId="164" fontId="288" fillId="0" borderId="309" xfId="0" applyNumberFormat="1" applyFont="1" applyBorder="1" applyAlignment="1">
      <alignment horizontal="right"/>
    </xf>
    <xf numFmtId="164" fontId="44" fillId="0" borderId="44" xfId="0" applyNumberFormat="1" applyFont="1" applyBorder="1" applyAlignment="1">
      <alignment horizontal="right"/>
    </xf>
    <xf numFmtId="164" fontId="129" fillId="0" borderId="136" xfId="0" applyNumberFormat="1" applyFont="1" applyBorder="1" applyAlignment="1">
      <alignment horizontal="right"/>
    </xf>
    <xf numFmtId="164" fontId="210" fillId="0" borderId="224" xfId="0" applyNumberFormat="1" applyFont="1" applyBorder="1" applyAlignment="1">
      <alignment horizontal="right"/>
    </xf>
    <xf numFmtId="164" fontId="289" fillId="0" borderId="310" xfId="0" applyNumberFormat="1" applyFont="1" applyBorder="1" applyAlignment="1">
      <alignment horizontal="right"/>
    </xf>
    <xf numFmtId="164" fontId="45" fillId="0" borderId="45" xfId="0" applyNumberFormat="1" applyFont="1" applyBorder="1" applyAlignment="1">
      <alignment horizontal="right"/>
    </xf>
    <xf numFmtId="164" fontId="130" fillId="0" borderId="137" xfId="0" applyNumberFormat="1" applyFont="1" applyBorder="1" applyAlignment="1">
      <alignment horizontal="right"/>
    </xf>
    <xf numFmtId="164" fontId="211" fillId="0" borderId="225" xfId="0" applyNumberFormat="1" applyFont="1" applyBorder="1" applyAlignment="1">
      <alignment horizontal="right"/>
    </xf>
    <xf numFmtId="164" fontId="290" fillId="0" borderId="311" xfId="0" applyNumberFormat="1" applyFont="1" applyBorder="1" applyAlignment="1">
      <alignment horizontal="right"/>
    </xf>
    <xf numFmtId="164" fontId="2" fillId="0" borderId="2" xfId="0" applyNumberFormat="1" applyFont="1" applyBorder="1" applyAlignment="1">
      <alignment horizontal="right"/>
    </xf>
    <xf numFmtId="164" fontId="87" fillId="0" borderId="94" xfId="0" applyNumberFormat="1" applyFont="1" applyBorder="1" applyAlignment="1">
      <alignment horizontal="right"/>
    </xf>
    <xf numFmtId="164" fontId="172" fillId="0" borderId="186" xfId="0" applyNumberFormat="1" applyFont="1" applyBorder="1" applyAlignment="1">
      <alignment horizontal="right"/>
    </xf>
    <xf numFmtId="164" fontId="247" fillId="0" borderId="268" xfId="0" applyNumberFormat="1" applyFont="1" applyBorder="1" applyAlignment="1">
      <alignment horizontal="right"/>
    </xf>
    <xf numFmtId="164" fontId="51" fillId="0" borderId="51" xfId="0" applyNumberFormat="1" applyFont="1" applyBorder="1" applyAlignment="1">
      <alignment horizontal="right"/>
    </xf>
    <xf numFmtId="164" fontId="136" fillId="0" borderId="143" xfId="0" applyNumberFormat="1" applyFont="1" applyBorder="1" applyAlignment="1">
      <alignment horizontal="right"/>
    </xf>
    <xf numFmtId="164" fontId="215" fillId="0" borderId="229" xfId="0" applyNumberFormat="1" applyFont="1" applyBorder="1" applyAlignment="1">
      <alignment horizontal="right"/>
    </xf>
    <xf numFmtId="164" fontId="296" fillId="0" borderId="317" xfId="0" applyNumberFormat="1" applyFont="1" applyBorder="1" applyAlignment="1">
      <alignment horizontal="right"/>
    </xf>
    <xf numFmtId="164" fontId="52" fillId="0" borderId="52" xfId="0" applyNumberFormat="1" applyFont="1" applyBorder="1" applyAlignment="1">
      <alignment horizontal="right"/>
    </xf>
    <xf numFmtId="164" fontId="137" fillId="0" borderId="144" xfId="0" applyNumberFormat="1" applyFont="1" applyBorder="1" applyAlignment="1">
      <alignment horizontal="right"/>
    </xf>
    <xf numFmtId="164" fontId="216" fillId="0" borderId="230" xfId="0" applyNumberFormat="1" applyFont="1" applyBorder="1" applyAlignment="1">
      <alignment horizontal="right"/>
    </xf>
    <xf numFmtId="164" fontId="297" fillId="0" borderId="318" xfId="0" applyNumberFormat="1" applyFont="1" applyBorder="1" applyAlignment="1">
      <alignment horizontal="right"/>
    </xf>
    <xf numFmtId="164" fontId="53" fillId="0" borderId="53" xfId="0" applyNumberFormat="1" applyFont="1" applyBorder="1" applyAlignment="1">
      <alignment horizontal="right"/>
    </xf>
    <xf numFmtId="164" fontId="138" fillId="0" borderId="145" xfId="0" applyNumberFormat="1" applyFont="1" applyBorder="1" applyAlignment="1">
      <alignment horizontal="right"/>
    </xf>
    <xf numFmtId="164" fontId="217" fillId="0" borderId="231" xfId="0" applyNumberFormat="1" applyFont="1" applyBorder="1" applyAlignment="1">
      <alignment horizontal="right"/>
    </xf>
    <xf numFmtId="164" fontId="298" fillId="0" borderId="319" xfId="0" applyNumberFormat="1" applyFont="1" applyBorder="1" applyAlignment="1">
      <alignment horizontal="right"/>
    </xf>
    <xf numFmtId="164" fontId="54" fillId="0" borderId="54" xfId="0" applyNumberFormat="1" applyFont="1" applyBorder="1" applyAlignment="1">
      <alignment horizontal="right"/>
    </xf>
    <xf numFmtId="164" fontId="139" fillId="0" borderId="146" xfId="0" applyNumberFormat="1" applyFont="1" applyBorder="1" applyAlignment="1">
      <alignment horizontal="right"/>
    </xf>
    <xf numFmtId="164" fontId="218" fillId="0" borderId="232" xfId="0" applyNumberFormat="1" applyFont="1" applyBorder="1" applyAlignment="1">
      <alignment horizontal="right"/>
    </xf>
    <xf numFmtId="164" fontId="299" fillId="0" borderId="320" xfId="0" applyNumberFormat="1" applyFont="1" applyBorder="1" applyAlignment="1">
      <alignment horizontal="right"/>
    </xf>
    <xf numFmtId="164" fontId="55" fillId="0" borderId="55" xfId="0" applyNumberFormat="1" applyFont="1" applyBorder="1" applyAlignment="1">
      <alignment horizontal="right"/>
    </xf>
    <xf numFmtId="164" fontId="140" fillId="0" borderId="147" xfId="0" applyNumberFormat="1" applyFont="1" applyBorder="1" applyAlignment="1">
      <alignment horizontal="right"/>
    </xf>
    <xf numFmtId="164" fontId="219" fillId="0" borderId="233" xfId="0" applyNumberFormat="1" applyFont="1" applyBorder="1" applyAlignment="1">
      <alignment horizontal="right"/>
    </xf>
    <xf numFmtId="164" fontId="300" fillId="0" borderId="321" xfId="0" applyNumberFormat="1" applyFont="1" applyBorder="1" applyAlignment="1">
      <alignment horizontal="right"/>
    </xf>
    <xf numFmtId="164" fontId="56" fillId="0" borderId="56" xfId="0" applyNumberFormat="1" applyFont="1" applyBorder="1" applyAlignment="1">
      <alignment horizontal="right"/>
    </xf>
    <xf numFmtId="164" fontId="141" fillId="0" borderId="148" xfId="0" applyNumberFormat="1" applyFont="1" applyBorder="1" applyAlignment="1">
      <alignment horizontal="right"/>
    </xf>
    <xf numFmtId="164" fontId="220" fillId="0" borderId="234" xfId="0" applyNumberFormat="1" applyFont="1" applyBorder="1" applyAlignment="1">
      <alignment horizontal="right"/>
    </xf>
    <xf numFmtId="164" fontId="301" fillId="0" borderId="322" xfId="0" applyNumberFormat="1" applyFont="1" applyBorder="1" applyAlignment="1">
      <alignment horizontal="right"/>
    </xf>
    <xf numFmtId="164" fontId="57" fillId="0" borderId="57" xfId="0" applyNumberFormat="1" applyFont="1" applyBorder="1" applyAlignment="1">
      <alignment horizontal="right"/>
    </xf>
    <xf numFmtId="164" fontId="142" fillId="0" borderId="149" xfId="0" applyNumberFormat="1" applyFont="1" applyBorder="1" applyAlignment="1">
      <alignment horizontal="right"/>
    </xf>
    <xf numFmtId="164" fontId="221" fillId="0" borderId="235" xfId="0" applyNumberFormat="1" applyFont="1" applyBorder="1" applyAlignment="1">
      <alignment horizontal="right"/>
    </xf>
    <xf numFmtId="164" fontId="302" fillId="0" borderId="323" xfId="0" applyNumberFormat="1" applyFont="1" applyBorder="1" applyAlignment="1">
      <alignment horizontal="right"/>
    </xf>
    <xf numFmtId="164" fontId="58" fillId="0" borderId="58" xfId="0" applyNumberFormat="1" applyFont="1" applyBorder="1" applyAlignment="1">
      <alignment horizontal="right"/>
    </xf>
    <xf numFmtId="164" fontId="143" fillId="0" borderId="150" xfId="0" applyNumberFormat="1" applyFont="1" applyBorder="1" applyAlignment="1">
      <alignment horizontal="right"/>
    </xf>
    <xf numFmtId="164" fontId="222" fillId="0" borderId="236" xfId="0" applyNumberFormat="1" applyFont="1" applyBorder="1" applyAlignment="1">
      <alignment horizontal="right"/>
    </xf>
    <xf numFmtId="164" fontId="303" fillId="0" borderId="324" xfId="0" applyNumberFormat="1" applyFont="1" applyBorder="1" applyAlignment="1">
      <alignment horizontal="right"/>
    </xf>
    <xf numFmtId="164" fontId="59" fillId="0" borderId="59" xfId="0" applyNumberFormat="1" applyFont="1" applyBorder="1" applyAlignment="1">
      <alignment horizontal="right"/>
    </xf>
    <xf numFmtId="164" fontId="144" fillId="0" borderId="151" xfId="0" applyNumberFormat="1" applyFont="1" applyBorder="1" applyAlignment="1">
      <alignment horizontal="right"/>
    </xf>
    <xf numFmtId="164" fontId="223" fillId="0" borderId="237" xfId="0" applyNumberFormat="1" applyFont="1" applyBorder="1" applyAlignment="1">
      <alignment horizontal="right"/>
    </xf>
    <xf numFmtId="164" fontId="304" fillId="0" borderId="325" xfId="0" applyNumberFormat="1" applyFont="1" applyBorder="1" applyAlignment="1">
      <alignment horizontal="right"/>
    </xf>
    <xf numFmtId="164" fontId="60" fillId="0" borderId="60" xfId="0" applyNumberFormat="1" applyFont="1" applyBorder="1" applyAlignment="1">
      <alignment horizontal="right"/>
    </xf>
    <xf numFmtId="164" fontId="145" fillId="0" borderId="152" xfId="0" applyNumberFormat="1" applyFont="1" applyBorder="1" applyAlignment="1">
      <alignment horizontal="right"/>
    </xf>
    <xf numFmtId="164" fontId="224" fillId="0" borderId="238" xfId="0" applyNumberFormat="1" applyFont="1" applyBorder="1" applyAlignment="1">
      <alignment horizontal="right"/>
    </xf>
    <xf numFmtId="164" fontId="305" fillId="0" borderId="326" xfId="0" applyNumberFormat="1" applyFont="1" applyBorder="1" applyAlignment="1">
      <alignment horizontal="right"/>
    </xf>
    <xf numFmtId="164" fontId="61" fillId="0" borderId="61" xfId="0" applyNumberFormat="1" applyFont="1" applyBorder="1" applyAlignment="1">
      <alignment horizontal="right"/>
    </xf>
    <xf numFmtId="164" fontId="146" fillId="0" borderId="153" xfId="0" applyNumberFormat="1" applyFont="1" applyBorder="1" applyAlignment="1">
      <alignment horizontal="right"/>
    </xf>
    <xf numFmtId="164" fontId="225" fillId="0" borderId="239" xfId="0" applyNumberFormat="1" applyFont="1" applyBorder="1" applyAlignment="1">
      <alignment horizontal="right"/>
    </xf>
    <xf numFmtId="164" fontId="306" fillId="0" borderId="327" xfId="0" applyNumberFormat="1" applyFont="1" applyBorder="1" applyAlignment="1">
      <alignment horizontal="right"/>
    </xf>
    <xf numFmtId="164" fontId="62" fillId="0" borderId="62" xfId="0" applyNumberFormat="1" applyFont="1" applyBorder="1" applyAlignment="1">
      <alignment horizontal="right"/>
    </xf>
    <xf numFmtId="164" fontId="147" fillId="0" borderId="154" xfId="0" applyNumberFormat="1" applyFont="1" applyBorder="1" applyAlignment="1">
      <alignment horizontal="right"/>
    </xf>
    <xf numFmtId="164" fontId="226" fillId="0" borderId="240" xfId="0" applyNumberFormat="1" applyFont="1" applyBorder="1" applyAlignment="1">
      <alignment horizontal="right"/>
    </xf>
    <xf numFmtId="164" fontId="307" fillId="0" borderId="328" xfId="0" applyNumberFormat="1" applyFont="1" applyBorder="1" applyAlignment="1">
      <alignment horizontal="right"/>
    </xf>
    <xf numFmtId="164" fontId="63" fillId="0" borderId="63" xfId="0" applyNumberFormat="1" applyFont="1" applyBorder="1" applyAlignment="1">
      <alignment horizontal="right"/>
    </xf>
    <xf numFmtId="164" fontId="148" fillId="0" borderId="155" xfId="0" applyNumberFormat="1" applyFont="1" applyBorder="1" applyAlignment="1">
      <alignment horizontal="right"/>
    </xf>
    <xf numFmtId="164" fontId="227" fillId="0" borderId="241" xfId="0" applyNumberFormat="1" applyFont="1" applyBorder="1" applyAlignment="1">
      <alignment horizontal="right"/>
    </xf>
    <xf numFmtId="164" fontId="308" fillId="0" borderId="329" xfId="0" applyNumberFormat="1" applyFont="1" applyBorder="1" applyAlignment="1">
      <alignment horizontal="right"/>
    </xf>
    <xf numFmtId="164" fontId="64" fillId="0" borderId="64" xfId="0" applyNumberFormat="1" applyFont="1" applyBorder="1" applyAlignment="1">
      <alignment horizontal="right"/>
    </xf>
    <xf numFmtId="164" fontId="149" fillId="0" borderId="156" xfId="0" applyNumberFormat="1" applyFont="1" applyBorder="1" applyAlignment="1">
      <alignment horizontal="right"/>
    </xf>
    <xf numFmtId="164" fontId="228" fillId="0" borderId="242" xfId="0" applyNumberFormat="1" applyFont="1" applyBorder="1" applyAlignment="1">
      <alignment horizontal="right"/>
    </xf>
    <xf numFmtId="164" fontId="309" fillId="0" borderId="330" xfId="0" applyNumberFormat="1" applyFont="1" applyBorder="1" applyAlignment="1">
      <alignment horizontal="right"/>
    </xf>
    <xf numFmtId="164" fontId="3" fillId="0" borderId="3" xfId="0" applyNumberFormat="1" applyFont="1" applyBorder="1" applyAlignment="1">
      <alignment horizontal="right"/>
    </xf>
    <xf numFmtId="164" fontId="88" fillId="0" borderId="95" xfId="0" applyNumberFormat="1" applyFont="1" applyBorder="1" applyAlignment="1">
      <alignment horizontal="right"/>
    </xf>
    <xf numFmtId="164" fontId="173" fillId="0" borderId="187" xfId="0" applyNumberFormat="1" applyFont="1" applyBorder="1" applyAlignment="1">
      <alignment horizontal="right"/>
    </xf>
    <xf numFmtId="164" fontId="248" fillId="0" borderId="269" xfId="0" applyNumberFormat="1" applyFont="1" applyBorder="1" applyAlignment="1">
      <alignment horizontal="right"/>
    </xf>
    <xf numFmtId="164" fontId="70" fillId="0" borderId="70" xfId="0" applyNumberFormat="1" applyFont="1" applyBorder="1" applyAlignment="1">
      <alignment horizontal="right"/>
    </xf>
    <xf numFmtId="164" fontId="155" fillId="0" borderId="162" xfId="0" applyNumberFormat="1" applyFont="1" applyBorder="1" applyAlignment="1">
      <alignment horizontal="right"/>
    </xf>
    <xf numFmtId="164" fontId="232" fillId="0" borderId="246" xfId="0" applyNumberFormat="1" applyFont="1" applyBorder="1" applyAlignment="1">
      <alignment horizontal="right"/>
    </xf>
    <xf numFmtId="164" fontId="315" fillId="0" borderId="336" xfId="0" applyNumberFormat="1" applyFont="1" applyBorder="1" applyAlignment="1">
      <alignment horizontal="right"/>
    </xf>
    <xf numFmtId="164" fontId="71" fillId="0" borderId="71" xfId="0" applyNumberFormat="1" applyFont="1" applyBorder="1" applyAlignment="1">
      <alignment horizontal="right"/>
    </xf>
    <xf numFmtId="164" fontId="156" fillId="0" borderId="163" xfId="0" applyNumberFormat="1" applyFont="1" applyBorder="1" applyAlignment="1">
      <alignment horizontal="right"/>
    </xf>
    <xf numFmtId="164" fontId="233" fillId="0" borderId="247" xfId="0" applyNumberFormat="1" applyFont="1" applyBorder="1" applyAlignment="1">
      <alignment horizontal="right"/>
    </xf>
    <xf numFmtId="164" fontId="316" fillId="0" borderId="337" xfId="0" applyNumberFormat="1" applyFont="1" applyBorder="1" applyAlignment="1">
      <alignment horizontal="right"/>
    </xf>
    <xf numFmtId="164" fontId="72" fillId="0" borderId="72" xfId="0" applyNumberFormat="1" applyFont="1" applyBorder="1" applyAlignment="1">
      <alignment horizontal="right"/>
    </xf>
    <xf numFmtId="164" fontId="157" fillId="0" borderId="164" xfId="0" applyNumberFormat="1" applyFont="1" applyBorder="1" applyAlignment="1">
      <alignment horizontal="right"/>
    </xf>
    <xf numFmtId="164" fontId="234" fillId="0" borderId="248" xfId="0" applyNumberFormat="1" applyFont="1" applyBorder="1" applyAlignment="1">
      <alignment horizontal="right"/>
    </xf>
    <xf numFmtId="164" fontId="317" fillId="0" borderId="338" xfId="0" applyNumberFormat="1" applyFont="1" applyBorder="1" applyAlignment="1">
      <alignment horizontal="right"/>
    </xf>
    <xf numFmtId="164" fontId="73" fillId="0" borderId="73" xfId="0" applyNumberFormat="1" applyFont="1" applyBorder="1" applyAlignment="1">
      <alignment horizontal="right"/>
    </xf>
    <xf numFmtId="164" fontId="158" fillId="0" borderId="165" xfId="0" applyNumberFormat="1" applyFont="1" applyBorder="1" applyAlignment="1">
      <alignment horizontal="right"/>
    </xf>
    <xf numFmtId="164" fontId="235" fillId="0" borderId="249" xfId="0" applyNumberFormat="1" applyFont="1" applyBorder="1" applyAlignment="1">
      <alignment horizontal="right"/>
    </xf>
    <xf numFmtId="164" fontId="318" fillId="0" borderId="339" xfId="0" applyNumberFormat="1" applyFont="1" applyBorder="1" applyAlignment="1">
      <alignment horizontal="right"/>
    </xf>
    <xf numFmtId="164" fontId="74" fillId="0" borderId="74" xfId="0" applyNumberFormat="1" applyFont="1" applyBorder="1" applyAlignment="1">
      <alignment horizontal="right"/>
    </xf>
    <xf numFmtId="164" fontId="159" fillId="0" borderId="166" xfId="0" applyNumberFormat="1" applyFont="1" applyBorder="1" applyAlignment="1">
      <alignment horizontal="right"/>
    </xf>
    <xf numFmtId="164" fontId="236" fillId="0" borderId="250" xfId="0" applyNumberFormat="1" applyFont="1" applyBorder="1" applyAlignment="1">
      <alignment horizontal="right"/>
    </xf>
    <xf numFmtId="164" fontId="319" fillId="0" borderId="340" xfId="0" applyNumberFormat="1" applyFont="1" applyBorder="1" applyAlignment="1">
      <alignment horizontal="right"/>
    </xf>
    <xf numFmtId="164" fontId="75" fillId="0" borderId="75" xfId="0" applyNumberFormat="1" applyFont="1" applyBorder="1" applyAlignment="1">
      <alignment horizontal="right"/>
    </xf>
    <xf numFmtId="164" fontId="160" fillId="0" borderId="167" xfId="0" applyNumberFormat="1" applyFont="1" applyBorder="1" applyAlignment="1">
      <alignment horizontal="right"/>
    </xf>
    <xf numFmtId="164" fontId="237" fillId="0" borderId="251" xfId="0" applyNumberFormat="1" applyFont="1" applyBorder="1" applyAlignment="1">
      <alignment horizontal="right"/>
    </xf>
    <xf numFmtId="164" fontId="320" fillId="0" borderId="341" xfId="0" applyNumberFormat="1" applyFont="1" applyBorder="1" applyAlignment="1">
      <alignment horizontal="right"/>
    </xf>
    <xf numFmtId="164" fontId="1" fillId="0" borderId="76" xfId="0" applyNumberFormat="1" applyFont="1" applyBorder="1" applyAlignment="1">
      <alignment horizontal="right"/>
    </xf>
    <xf numFmtId="164" fontId="1" fillId="0" borderId="168" xfId="0" applyNumberFormat="1" applyFont="1" applyBorder="1" applyAlignment="1">
      <alignment horizontal="right"/>
    </xf>
    <xf numFmtId="164" fontId="1" fillId="0" borderId="252" xfId="0" applyNumberFormat="1" applyFont="1" applyBorder="1" applyAlignment="1">
      <alignment horizontal="right"/>
    </xf>
    <xf numFmtId="164" fontId="1" fillId="0" borderId="342" xfId="0" applyNumberFormat="1" applyFont="1" applyBorder="1" applyAlignment="1">
      <alignment horizontal="right"/>
    </xf>
    <xf numFmtId="164" fontId="1" fillId="0" borderId="77" xfId="0" applyNumberFormat="1" applyFont="1" applyBorder="1" applyAlignment="1">
      <alignment horizontal="right"/>
    </xf>
    <xf numFmtId="164" fontId="1" fillId="0" borderId="169" xfId="0" applyNumberFormat="1" applyFont="1" applyBorder="1" applyAlignment="1">
      <alignment horizontal="right"/>
    </xf>
    <xf numFmtId="164" fontId="1" fillId="0" borderId="253" xfId="0" applyNumberFormat="1" applyFont="1" applyBorder="1" applyAlignment="1">
      <alignment horizontal="right"/>
    </xf>
    <xf numFmtId="164" fontId="1" fillId="0" borderId="343" xfId="0" applyNumberFormat="1" applyFont="1" applyBorder="1" applyAlignment="1">
      <alignment horizontal="right"/>
    </xf>
    <xf numFmtId="164" fontId="1" fillId="0" borderId="78" xfId="0" applyNumberFormat="1" applyFont="1" applyBorder="1" applyAlignment="1">
      <alignment horizontal="right"/>
    </xf>
    <xf numFmtId="164" fontId="1" fillId="0" borderId="170" xfId="0" applyNumberFormat="1" applyFont="1" applyBorder="1" applyAlignment="1">
      <alignment horizontal="right"/>
    </xf>
    <xf numFmtId="164" fontId="1" fillId="0" borderId="254" xfId="0" applyNumberFormat="1" applyFont="1" applyBorder="1" applyAlignment="1">
      <alignment horizontal="right"/>
    </xf>
    <xf numFmtId="164" fontId="1" fillId="0" borderId="344" xfId="0" applyNumberFormat="1" applyFont="1" applyBorder="1" applyAlignment="1">
      <alignment horizontal="right"/>
    </xf>
    <xf numFmtId="164" fontId="1" fillId="0" borderId="79" xfId="0" applyNumberFormat="1" applyFont="1" applyBorder="1" applyAlignment="1">
      <alignment horizontal="right"/>
    </xf>
    <xf numFmtId="164" fontId="1" fillId="0" borderId="171" xfId="0" applyNumberFormat="1" applyFont="1" applyBorder="1" applyAlignment="1">
      <alignment horizontal="right"/>
    </xf>
    <xf numFmtId="164" fontId="1" fillId="0" borderId="255" xfId="0" applyNumberFormat="1" applyFont="1" applyBorder="1" applyAlignment="1">
      <alignment horizontal="right"/>
    </xf>
    <xf numFmtId="164" fontId="1" fillId="0" borderId="345" xfId="0" applyNumberFormat="1" applyFont="1" applyBorder="1" applyAlignment="1">
      <alignment horizontal="right"/>
    </xf>
    <xf numFmtId="164" fontId="1" fillId="0" borderId="80" xfId="0" applyNumberFormat="1" applyFont="1" applyBorder="1" applyAlignment="1">
      <alignment horizontal="right"/>
    </xf>
    <xf numFmtId="164" fontId="1" fillId="0" borderId="172" xfId="0" applyNumberFormat="1" applyFont="1" applyBorder="1" applyAlignment="1">
      <alignment horizontal="right"/>
    </xf>
    <xf numFmtId="164" fontId="1" fillId="0" borderId="256" xfId="0" applyNumberFormat="1" applyFont="1" applyBorder="1" applyAlignment="1">
      <alignment horizontal="right"/>
    </xf>
    <xf numFmtId="164" fontId="1" fillId="0" borderId="346" xfId="0" applyNumberFormat="1" applyFont="1" applyBorder="1" applyAlignment="1">
      <alignment horizontal="right"/>
    </xf>
    <xf numFmtId="164" fontId="1" fillId="0" borderId="81" xfId="0" applyNumberFormat="1" applyFont="1" applyBorder="1" applyAlignment="1">
      <alignment horizontal="right"/>
    </xf>
    <xf numFmtId="164" fontId="1" fillId="0" borderId="173" xfId="0" applyNumberFormat="1" applyFont="1" applyBorder="1" applyAlignment="1">
      <alignment horizontal="right"/>
    </xf>
    <xf numFmtId="164" fontId="1" fillId="0" borderId="257" xfId="0" applyNumberFormat="1" applyFont="1" applyBorder="1" applyAlignment="1">
      <alignment horizontal="right"/>
    </xf>
    <xf numFmtId="164" fontId="1" fillId="0" borderId="347" xfId="0" applyNumberFormat="1" applyFont="1" applyBorder="1" applyAlignment="1">
      <alignment horizontal="right"/>
    </xf>
    <xf numFmtId="164" fontId="1" fillId="0" borderId="82" xfId="0" applyNumberFormat="1" applyFont="1" applyBorder="1" applyAlignment="1">
      <alignment horizontal="right"/>
    </xf>
    <xf numFmtId="164" fontId="1" fillId="0" borderId="174" xfId="0" applyNumberFormat="1" applyFont="1" applyBorder="1" applyAlignment="1">
      <alignment horizontal="right"/>
    </xf>
    <xf numFmtId="164" fontId="1" fillId="0" borderId="258" xfId="0" applyNumberFormat="1" applyFont="1" applyBorder="1" applyAlignment="1">
      <alignment horizontal="right"/>
    </xf>
    <xf numFmtId="164" fontId="1" fillId="0" borderId="348" xfId="0" applyNumberFormat="1" applyFont="1" applyBorder="1" applyAlignment="1">
      <alignment horizontal="right"/>
    </xf>
    <xf numFmtId="164" fontId="76" fillId="0" borderId="83" xfId="0" applyNumberFormat="1" applyFont="1" applyBorder="1" applyAlignment="1">
      <alignment horizontal="right"/>
    </xf>
    <xf numFmtId="164" fontId="161" fillId="0" borderId="175" xfId="0" applyNumberFormat="1" applyFont="1" applyBorder="1" applyAlignment="1">
      <alignment horizontal="right"/>
    </xf>
    <xf numFmtId="164" fontId="238" fillId="0" borderId="259" xfId="0" applyNumberFormat="1" applyFont="1" applyBorder="1" applyAlignment="1">
      <alignment horizontal="right"/>
    </xf>
    <xf numFmtId="164" fontId="321" fillId="0" borderId="349" xfId="0" applyNumberFormat="1" applyFont="1" applyBorder="1" applyAlignment="1">
      <alignment horizontal="right"/>
    </xf>
    <xf numFmtId="164" fontId="4" fillId="0" borderId="4" xfId="0" applyNumberFormat="1" applyFont="1" applyBorder="1" applyAlignment="1">
      <alignment horizontal="right"/>
    </xf>
    <xf numFmtId="164" fontId="89" fillId="0" borderId="96" xfId="0" applyNumberFormat="1" applyFont="1" applyBorder="1" applyAlignment="1">
      <alignment horizontal="right"/>
    </xf>
    <xf numFmtId="164" fontId="174" fillId="0" borderId="188" xfId="0" applyNumberFormat="1" applyFont="1" applyBorder="1" applyAlignment="1">
      <alignment horizontal="right"/>
    </xf>
    <xf numFmtId="164" fontId="249" fillId="0" borderId="270" xfId="0" applyNumberFormat="1" applyFont="1" applyBorder="1" applyAlignment="1">
      <alignment horizontal="right"/>
    </xf>
    <xf numFmtId="164" fontId="82" fillId="0" borderId="89" xfId="0" applyNumberFormat="1" applyFont="1" applyBorder="1" applyAlignment="1">
      <alignment horizontal="right"/>
    </xf>
    <xf numFmtId="164" fontId="167" fillId="0" borderId="181" xfId="0" applyNumberFormat="1" applyFont="1" applyBorder="1" applyAlignment="1">
      <alignment horizontal="right"/>
    </xf>
    <xf numFmtId="164" fontId="242" fillId="0" borderId="263" xfId="0" applyNumberFormat="1" applyFont="1" applyBorder="1" applyAlignment="1">
      <alignment horizontal="right"/>
    </xf>
    <xf numFmtId="164" fontId="327" fillId="0" borderId="355" xfId="0" applyNumberFormat="1" applyFont="1" applyBorder="1" applyAlignment="1">
      <alignment horizontal="right"/>
    </xf>
    <xf numFmtId="164" fontId="83" fillId="0" borderId="90" xfId="0" applyNumberFormat="1" applyFont="1" applyBorder="1" applyAlignment="1">
      <alignment horizontal="right"/>
    </xf>
    <xf numFmtId="164" fontId="168" fillId="0" borderId="182" xfId="0" applyNumberFormat="1" applyFont="1" applyBorder="1" applyAlignment="1">
      <alignment horizontal="right"/>
    </xf>
    <xf numFmtId="164" fontId="243" fillId="0" borderId="264" xfId="0" applyNumberFormat="1" applyFont="1" applyBorder="1" applyAlignment="1">
      <alignment horizontal="right"/>
    </xf>
    <xf numFmtId="164" fontId="328" fillId="0" borderId="356" xfId="0" applyNumberFormat="1" applyFont="1" applyBorder="1" applyAlignment="1">
      <alignment horizontal="right"/>
    </xf>
    <xf numFmtId="164" fontId="84" fillId="0" borderId="91" xfId="0" applyNumberFormat="1" applyFont="1" applyBorder="1" applyAlignment="1">
      <alignment horizontal="right"/>
    </xf>
    <xf numFmtId="164" fontId="169" fillId="0" borderId="183" xfId="0" applyNumberFormat="1" applyFont="1" applyBorder="1" applyAlignment="1">
      <alignment horizontal="right"/>
    </xf>
    <xf numFmtId="164" fontId="244" fillId="0" borderId="265" xfId="0" applyNumberFormat="1" applyFont="1" applyBorder="1" applyAlignment="1">
      <alignment horizontal="right"/>
    </xf>
    <xf numFmtId="164" fontId="329" fillId="0" borderId="357" xfId="0" applyNumberFormat="1" applyFont="1" applyBorder="1" applyAlignment="1">
      <alignment horizontal="right"/>
    </xf>
    <xf numFmtId="164" fontId="85" fillId="0" borderId="92" xfId="0" applyNumberFormat="1" applyFont="1" applyBorder="1" applyAlignment="1">
      <alignment horizontal="right"/>
    </xf>
    <xf numFmtId="164" fontId="170" fillId="0" borderId="184" xfId="0" applyNumberFormat="1" applyFont="1" applyBorder="1" applyAlignment="1">
      <alignment horizontal="right"/>
    </xf>
    <xf numFmtId="164" fontId="245" fillId="0" borderId="266" xfId="0" applyNumberFormat="1" applyFont="1" applyBorder="1" applyAlignment="1">
      <alignment horizontal="right"/>
    </xf>
    <xf numFmtId="164" fontId="330" fillId="0" borderId="358" xfId="0" applyNumberFormat="1" applyFont="1" applyBorder="1" applyAlignment="1">
      <alignment horizontal="right"/>
    </xf>
    <xf numFmtId="164" fontId="5" fillId="0" borderId="5" xfId="0" applyNumberFormat="1" applyFont="1" applyBorder="1" applyAlignment="1">
      <alignment horizontal="right"/>
    </xf>
    <xf numFmtId="164" fontId="90" fillId="0" borderId="97" xfId="0" applyNumberFormat="1" applyFont="1" applyBorder="1" applyAlignment="1">
      <alignment horizontal="right"/>
    </xf>
    <xf numFmtId="164" fontId="175" fillId="0" borderId="189" xfId="0" applyNumberFormat="1" applyFont="1" applyBorder="1" applyAlignment="1">
      <alignment horizontal="right"/>
    </xf>
    <xf numFmtId="164" fontId="250" fillId="0" borderId="271" xfId="0" applyNumberFormat="1" applyFont="1" applyBorder="1" applyAlignment="1">
      <alignment horizontal="right"/>
    </xf>
    <xf numFmtId="164" fontId="3968" fillId="0" borderId="4304" xfId="0" applyNumberFormat="1" applyFont="1" applyBorder="1" applyAlignment="1">
      <alignment horizontal="right"/>
    </xf>
    <xf numFmtId="164" fontId="4007" fillId="0" borderId="4343" xfId="0" applyNumberFormat="1" applyFont="1" applyBorder="1" applyAlignment="1">
      <alignment horizontal="right"/>
    </xf>
    <xf numFmtId="164" fontId="4044" fillId="0" borderId="4380" xfId="0" applyNumberFormat="1" applyFont="1" applyBorder="1" applyAlignment="1">
      <alignment horizontal="right"/>
    </xf>
    <xf numFmtId="164" fontId="4081" fillId="0" borderId="4417" xfId="0" applyNumberFormat="1" applyFont="1" applyBorder="1" applyAlignment="1">
      <alignment horizontal="right"/>
    </xf>
    <xf numFmtId="164" fontId="3969" fillId="0" borderId="4305" xfId="0" applyNumberFormat="1" applyFont="1" applyBorder="1" applyAlignment="1">
      <alignment horizontal="right"/>
    </xf>
    <xf numFmtId="164" fontId="4008" fillId="0" borderId="4344" xfId="0" applyNumberFormat="1" applyFont="1" applyBorder="1" applyAlignment="1">
      <alignment horizontal="right"/>
    </xf>
    <xf numFmtId="164" fontId="4045" fillId="0" borderId="4381" xfId="0" applyNumberFormat="1" applyFont="1" applyBorder="1" applyAlignment="1">
      <alignment horizontal="right"/>
    </xf>
    <xf numFmtId="164" fontId="4082" fillId="0" borderId="4418" xfId="0" applyNumberFormat="1" applyFont="1" applyBorder="1" applyAlignment="1">
      <alignment horizontal="right"/>
    </xf>
    <xf numFmtId="164" fontId="3970" fillId="0" borderId="4306" xfId="0" applyNumberFormat="1" applyFont="1" applyBorder="1" applyAlignment="1">
      <alignment horizontal="right"/>
    </xf>
    <xf numFmtId="164" fontId="4009" fillId="0" borderId="4345" xfId="0" applyNumberFormat="1" applyFont="1" applyBorder="1" applyAlignment="1">
      <alignment horizontal="right"/>
    </xf>
    <xf numFmtId="164" fontId="4046" fillId="0" borderId="4382" xfId="0" applyNumberFormat="1" applyFont="1" applyBorder="1" applyAlignment="1">
      <alignment horizontal="right"/>
    </xf>
    <xf numFmtId="164" fontId="4083" fillId="0" borderId="4419" xfId="0" applyNumberFormat="1" applyFont="1" applyBorder="1" applyAlignment="1">
      <alignment horizontal="right"/>
    </xf>
    <xf numFmtId="164" fontId="3971" fillId="0" borderId="4307" xfId="0" applyNumberFormat="1" applyFont="1" applyBorder="1" applyAlignment="1">
      <alignment horizontal="right"/>
    </xf>
    <xf numFmtId="164" fontId="4010" fillId="0" borderId="4346" xfId="0" applyNumberFormat="1" applyFont="1" applyBorder="1" applyAlignment="1">
      <alignment horizontal="right"/>
    </xf>
    <xf numFmtId="164" fontId="4047" fillId="0" borderId="4383" xfId="0" applyNumberFormat="1" applyFont="1" applyBorder="1" applyAlignment="1">
      <alignment horizontal="right"/>
    </xf>
    <xf numFmtId="164" fontId="4084" fillId="0" borderId="4420" xfId="0" applyNumberFormat="1" applyFont="1" applyBorder="1" applyAlignment="1">
      <alignment horizontal="right"/>
    </xf>
    <xf numFmtId="164" fontId="3972" fillId="0" borderId="4308" xfId="0" applyNumberFormat="1" applyFont="1" applyBorder="1" applyAlignment="1">
      <alignment horizontal="right"/>
    </xf>
    <xf numFmtId="164" fontId="4011" fillId="0" borderId="4347" xfId="0" applyNumberFormat="1" applyFont="1" applyBorder="1" applyAlignment="1">
      <alignment horizontal="right"/>
    </xf>
    <xf numFmtId="164" fontId="4048" fillId="0" borderId="4384" xfId="0" applyNumberFormat="1" applyFont="1" applyBorder="1" applyAlignment="1">
      <alignment horizontal="right"/>
    </xf>
    <xf numFmtId="164" fontId="4085" fillId="0" borderId="4421" xfId="0" applyNumberFormat="1" applyFont="1" applyBorder="1" applyAlignment="1">
      <alignment horizontal="right"/>
    </xf>
    <xf numFmtId="164" fontId="3973" fillId="0" borderId="4309" xfId="0" applyNumberFormat="1" applyFont="1" applyBorder="1" applyAlignment="1">
      <alignment horizontal="right"/>
    </xf>
    <xf numFmtId="164" fontId="4012" fillId="0" borderId="4348" xfId="0" applyNumberFormat="1" applyFont="1" applyBorder="1" applyAlignment="1">
      <alignment horizontal="right"/>
    </xf>
    <xf numFmtId="164" fontId="4049" fillId="0" borderId="4385" xfId="0" applyNumberFormat="1" applyFont="1" applyBorder="1" applyAlignment="1">
      <alignment horizontal="right"/>
    </xf>
    <xf numFmtId="164" fontId="4086" fillId="0" borderId="4422" xfId="0" applyNumberFormat="1" applyFont="1" applyBorder="1" applyAlignment="1">
      <alignment horizontal="right"/>
    </xf>
    <xf numFmtId="164" fontId="3974" fillId="0" borderId="4310" xfId="0" applyNumberFormat="1" applyFont="1" applyBorder="1" applyAlignment="1">
      <alignment horizontal="right"/>
    </xf>
    <xf numFmtId="164" fontId="4013" fillId="0" borderId="4349" xfId="0" applyNumberFormat="1" applyFont="1" applyBorder="1" applyAlignment="1">
      <alignment horizontal="right"/>
    </xf>
    <xf numFmtId="164" fontId="4050" fillId="0" borderId="4386" xfId="0" applyNumberFormat="1" applyFont="1" applyBorder="1" applyAlignment="1">
      <alignment horizontal="right"/>
    </xf>
    <xf numFmtId="164" fontId="4087" fillId="0" borderId="4423" xfId="0" applyNumberFormat="1" applyFont="1" applyBorder="1" applyAlignment="1">
      <alignment horizontal="right"/>
    </xf>
    <xf numFmtId="164" fontId="3975" fillId="0" borderId="4311" xfId="0" applyNumberFormat="1" applyFont="1" applyBorder="1" applyAlignment="1">
      <alignment horizontal="right"/>
    </xf>
    <xf numFmtId="164" fontId="4014" fillId="0" borderId="4350" xfId="0" applyNumberFormat="1" applyFont="1" applyBorder="1" applyAlignment="1">
      <alignment horizontal="right"/>
    </xf>
    <xf numFmtId="164" fontId="4051" fillId="0" borderId="4387" xfId="0" applyNumberFormat="1" applyFont="1" applyBorder="1" applyAlignment="1">
      <alignment horizontal="right"/>
    </xf>
    <xf numFmtId="164" fontId="4088" fillId="0" borderId="4424" xfId="0" applyNumberFormat="1" applyFont="1" applyBorder="1" applyAlignment="1">
      <alignment horizontal="right"/>
    </xf>
    <xf numFmtId="164" fontId="3976" fillId="0" borderId="4312" xfId="0" applyNumberFormat="1" applyFont="1" applyBorder="1" applyAlignment="1">
      <alignment horizontal="right"/>
    </xf>
    <xf numFmtId="164" fontId="4015" fillId="0" borderId="4351" xfId="0" applyNumberFormat="1" applyFont="1" applyBorder="1" applyAlignment="1">
      <alignment horizontal="right"/>
    </xf>
    <xf numFmtId="164" fontId="4052" fillId="0" borderId="4388" xfId="0" applyNumberFormat="1" applyFont="1" applyBorder="1" applyAlignment="1">
      <alignment horizontal="right"/>
    </xf>
    <xf numFmtId="164" fontId="4089" fillId="0" borderId="4425" xfId="0" applyNumberFormat="1" applyFont="1" applyBorder="1" applyAlignment="1">
      <alignment horizontal="right"/>
    </xf>
    <xf numFmtId="164" fontId="3977" fillId="0" borderId="4313" xfId="0" applyNumberFormat="1" applyFont="1" applyBorder="1" applyAlignment="1">
      <alignment horizontal="right"/>
    </xf>
    <xf numFmtId="164" fontId="4016" fillId="0" borderId="4352" xfId="0" applyNumberFormat="1" applyFont="1" applyBorder="1" applyAlignment="1">
      <alignment horizontal="right"/>
    </xf>
    <xf numFmtId="164" fontId="4053" fillId="0" borderId="4389" xfId="0" applyNumberFormat="1" applyFont="1" applyBorder="1" applyAlignment="1">
      <alignment horizontal="right"/>
    </xf>
    <xf numFmtId="164" fontId="4090" fillId="0" borderId="4426" xfId="0" applyNumberFormat="1" applyFont="1" applyBorder="1" applyAlignment="1">
      <alignment horizontal="right"/>
    </xf>
    <xf numFmtId="164" fontId="3978" fillId="0" borderId="4314" xfId="0" applyNumberFormat="1" applyFont="1" applyBorder="1" applyAlignment="1">
      <alignment horizontal="right"/>
    </xf>
    <xf numFmtId="164" fontId="4017" fillId="0" borderId="4353" xfId="0" applyNumberFormat="1" applyFont="1" applyBorder="1" applyAlignment="1">
      <alignment horizontal="right"/>
    </xf>
    <xf numFmtId="164" fontId="4054" fillId="0" borderId="4390" xfId="0" applyNumberFormat="1" applyFont="1" applyBorder="1" applyAlignment="1">
      <alignment horizontal="right"/>
    </xf>
    <xf numFmtId="164" fontId="4091" fillId="0" borderId="4427" xfId="0" applyNumberFormat="1" applyFont="1" applyBorder="1" applyAlignment="1">
      <alignment horizontal="right"/>
    </xf>
    <xf numFmtId="164" fontId="3979" fillId="0" borderId="4315" xfId="0" applyNumberFormat="1" applyFont="1" applyBorder="1" applyAlignment="1">
      <alignment horizontal="right"/>
    </xf>
    <xf numFmtId="164" fontId="4018" fillId="0" borderId="4354" xfId="0" applyNumberFormat="1" applyFont="1" applyBorder="1" applyAlignment="1">
      <alignment horizontal="right"/>
    </xf>
    <xf numFmtId="164" fontId="4055" fillId="0" borderId="4391" xfId="0" applyNumberFormat="1" applyFont="1" applyBorder="1" applyAlignment="1">
      <alignment horizontal="right"/>
    </xf>
    <xf numFmtId="164" fontId="4092" fillId="0" borderId="4428" xfId="0" applyNumberFormat="1" applyFont="1" applyBorder="1" applyAlignment="1">
      <alignment horizontal="right"/>
    </xf>
    <xf numFmtId="164" fontId="3980" fillId="0" borderId="4316" xfId="0" applyNumberFormat="1" applyFont="1" applyBorder="1" applyAlignment="1">
      <alignment horizontal="right"/>
    </xf>
    <xf numFmtId="164" fontId="4019" fillId="0" borderId="4355" xfId="0" applyNumberFormat="1" applyFont="1" applyBorder="1" applyAlignment="1">
      <alignment horizontal="right"/>
    </xf>
    <xf numFmtId="164" fontId="4056" fillId="0" borderId="4392" xfId="0" applyNumberFormat="1" applyFont="1" applyBorder="1" applyAlignment="1">
      <alignment horizontal="right"/>
    </xf>
    <xf numFmtId="164" fontId="4093" fillId="0" borderId="4429" xfId="0" applyNumberFormat="1" applyFont="1" applyBorder="1" applyAlignment="1">
      <alignment horizontal="right"/>
    </xf>
    <xf numFmtId="164" fontId="3961" fillId="0" borderId="4297" xfId="0" applyNumberFormat="1" applyFont="1" applyBorder="1" applyAlignment="1">
      <alignment horizontal="right"/>
    </xf>
    <xf numFmtId="164" fontId="4000" fillId="0" borderId="4336" xfId="0" applyNumberFormat="1" applyFont="1" applyBorder="1" applyAlignment="1">
      <alignment horizontal="right"/>
    </xf>
    <xf numFmtId="164" fontId="4039" fillId="0" borderId="4375" xfId="0" applyNumberFormat="1" applyFont="1" applyBorder="1" applyAlignment="1">
      <alignment horizontal="right"/>
    </xf>
    <xf numFmtId="164" fontId="4074" fillId="0" borderId="4410" xfId="0" applyNumberFormat="1" applyFont="1" applyBorder="1" applyAlignment="1">
      <alignment horizontal="right"/>
    </xf>
    <xf numFmtId="164" fontId="3986" fillId="0" borderId="4322" xfId="0" applyNumberFormat="1" applyFont="1" applyBorder="1" applyAlignment="1">
      <alignment horizontal="right"/>
    </xf>
    <xf numFmtId="164" fontId="4025" fillId="0" borderId="4361" xfId="0" applyNumberFormat="1" applyFont="1" applyBorder="1" applyAlignment="1">
      <alignment horizontal="right"/>
    </xf>
    <xf numFmtId="164" fontId="4060" fillId="0" borderId="4396" xfId="0" applyNumberFormat="1" applyFont="1" applyBorder="1" applyAlignment="1">
      <alignment horizontal="right"/>
    </xf>
    <xf numFmtId="164" fontId="4099" fillId="0" borderId="4435" xfId="0" applyNumberFormat="1" applyFont="1" applyBorder="1" applyAlignment="1">
      <alignment horizontal="right"/>
    </xf>
    <xf numFmtId="164" fontId="3987" fillId="0" borderId="4323" xfId="0" applyNumberFormat="1" applyFont="1" applyBorder="1" applyAlignment="1">
      <alignment horizontal="right"/>
    </xf>
    <xf numFmtId="164" fontId="4026" fillId="0" borderId="4362" xfId="0" applyNumberFormat="1" applyFont="1" applyBorder="1" applyAlignment="1">
      <alignment horizontal="right"/>
    </xf>
    <xf numFmtId="164" fontId="4061" fillId="0" borderId="4397" xfId="0" applyNumberFormat="1" applyFont="1" applyBorder="1" applyAlignment="1">
      <alignment horizontal="right"/>
    </xf>
    <xf numFmtId="164" fontId="4100" fillId="0" borderId="4436" xfId="0" applyNumberFormat="1" applyFont="1" applyBorder="1" applyAlignment="1">
      <alignment horizontal="right"/>
    </xf>
    <xf numFmtId="164" fontId="3988" fillId="0" borderId="4324" xfId="0" applyNumberFormat="1" applyFont="1" applyBorder="1" applyAlignment="1">
      <alignment horizontal="right"/>
    </xf>
    <xf numFmtId="164" fontId="4027" fillId="0" borderId="4363" xfId="0" applyNumberFormat="1" applyFont="1" applyBorder="1" applyAlignment="1">
      <alignment horizontal="right"/>
    </xf>
    <xf numFmtId="164" fontId="4062" fillId="0" borderId="4398" xfId="0" applyNumberFormat="1" applyFont="1" applyBorder="1" applyAlignment="1">
      <alignment horizontal="right"/>
    </xf>
    <xf numFmtId="164" fontId="4101" fillId="0" borderId="4437" xfId="0" applyNumberFormat="1" applyFont="1" applyBorder="1" applyAlignment="1">
      <alignment horizontal="right"/>
    </xf>
    <xf numFmtId="164" fontId="3989" fillId="0" borderId="4325" xfId="0" applyNumberFormat="1" applyFont="1" applyBorder="1" applyAlignment="1">
      <alignment horizontal="right"/>
    </xf>
    <xf numFmtId="164" fontId="4028" fillId="0" borderId="4364" xfId="0" applyNumberFormat="1" applyFont="1" applyBorder="1" applyAlignment="1">
      <alignment horizontal="right"/>
    </xf>
    <xf numFmtId="164" fontId="4063" fillId="0" borderId="4399" xfId="0" applyNumberFormat="1" applyFont="1" applyBorder="1" applyAlignment="1">
      <alignment horizontal="right"/>
    </xf>
    <xf numFmtId="164" fontId="4102" fillId="0" borderId="4438" xfId="0" applyNumberFormat="1" applyFont="1" applyBorder="1" applyAlignment="1">
      <alignment horizontal="right"/>
    </xf>
    <xf numFmtId="164" fontId="3990" fillId="0" borderId="4326" xfId="0" applyNumberFormat="1" applyFont="1" applyBorder="1" applyAlignment="1">
      <alignment horizontal="right"/>
    </xf>
    <xf numFmtId="164" fontId="4029" fillId="0" borderId="4365" xfId="0" applyNumberFormat="1" applyFont="1" applyBorder="1" applyAlignment="1">
      <alignment horizontal="right"/>
    </xf>
    <xf numFmtId="164" fontId="4064" fillId="0" borderId="4400" xfId="0" applyNumberFormat="1" applyFont="1" applyBorder="1" applyAlignment="1">
      <alignment horizontal="right"/>
    </xf>
    <xf numFmtId="164" fontId="4103" fillId="0" borderId="4439" xfId="0" applyNumberFormat="1" applyFont="1" applyBorder="1" applyAlignment="1">
      <alignment horizontal="right"/>
    </xf>
    <xf numFmtId="164" fontId="3991" fillId="0" borderId="4327" xfId="0" applyNumberFormat="1" applyFont="1" applyBorder="1" applyAlignment="1">
      <alignment horizontal="right"/>
    </xf>
    <xf numFmtId="164" fontId="4030" fillId="0" borderId="4366" xfId="0" applyNumberFormat="1" applyFont="1" applyBorder="1" applyAlignment="1">
      <alignment horizontal="right"/>
    </xf>
    <xf numFmtId="164" fontId="4065" fillId="0" borderId="4401" xfId="0" applyNumberFormat="1" applyFont="1" applyBorder="1" applyAlignment="1">
      <alignment horizontal="right"/>
    </xf>
    <xf numFmtId="164" fontId="4104" fillId="0" borderId="4440" xfId="0" applyNumberFormat="1" applyFont="1" applyBorder="1" applyAlignment="1">
      <alignment horizontal="right"/>
    </xf>
    <xf numFmtId="164" fontId="3992" fillId="0" borderId="4328" xfId="0" applyNumberFormat="1" applyFont="1" applyBorder="1" applyAlignment="1">
      <alignment horizontal="right"/>
    </xf>
    <xf numFmtId="164" fontId="4031" fillId="0" borderId="4367" xfId="0" applyNumberFormat="1" applyFont="1" applyBorder="1" applyAlignment="1">
      <alignment horizontal="right"/>
    </xf>
    <xf numFmtId="164" fontId="4066" fillId="0" borderId="4402" xfId="0" applyNumberFormat="1" applyFont="1" applyBorder="1" applyAlignment="1">
      <alignment horizontal="right"/>
    </xf>
    <xf numFmtId="164" fontId="4105" fillId="0" borderId="4441" xfId="0" applyNumberFormat="1" applyFont="1" applyBorder="1" applyAlignment="1">
      <alignment horizontal="right"/>
    </xf>
    <xf numFmtId="164" fontId="3993" fillId="0" borderId="4329" xfId="0" applyNumberFormat="1" applyFont="1" applyBorder="1" applyAlignment="1">
      <alignment horizontal="right"/>
    </xf>
    <xf numFmtId="164" fontId="4032" fillId="0" borderId="4368" xfId="0" applyNumberFormat="1" applyFont="1" applyBorder="1" applyAlignment="1">
      <alignment horizontal="right"/>
    </xf>
    <xf numFmtId="164" fontId="4067" fillId="0" borderId="4403" xfId="0" applyNumberFormat="1" applyFont="1" applyBorder="1" applyAlignment="1">
      <alignment horizontal="right"/>
    </xf>
    <xf numFmtId="164" fontId="4106" fillId="0" borderId="4442" xfId="0" applyNumberFormat="1" applyFont="1" applyBorder="1" applyAlignment="1">
      <alignment horizontal="right"/>
    </xf>
    <xf numFmtId="164" fontId="3994" fillId="0" borderId="4330" xfId="0" applyNumberFormat="1" applyFont="1" applyBorder="1" applyAlignment="1">
      <alignment horizontal="right"/>
    </xf>
    <xf numFmtId="164" fontId="4033" fillId="0" borderId="4369" xfId="0" applyNumberFormat="1" applyFont="1" applyBorder="1" applyAlignment="1">
      <alignment horizontal="right"/>
    </xf>
    <xf numFmtId="164" fontId="4068" fillId="0" borderId="4404" xfId="0" applyNumberFormat="1" applyFont="1" applyBorder="1" applyAlignment="1">
      <alignment horizontal="right"/>
    </xf>
    <xf numFmtId="164" fontId="4107" fillId="0" borderId="4443" xfId="0" applyNumberFormat="1" applyFont="1" applyBorder="1" applyAlignment="1">
      <alignment horizontal="right"/>
    </xf>
    <xf numFmtId="164" fontId="3995" fillId="0" borderId="4331" xfId="0" applyNumberFormat="1" applyFont="1" applyBorder="1" applyAlignment="1">
      <alignment horizontal="right"/>
    </xf>
    <xf numFmtId="164" fontId="4034" fillId="0" borderId="4370" xfId="0" applyNumberFormat="1" applyFont="1" applyBorder="1" applyAlignment="1">
      <alignment horizontal="right"/>
    </xf>
    <xf numFmtId="164" fontId="4069" fillId="0" borderId="4405" xfId="0" applyNumberFormat="1" applyFont="1" applyBorder="1" applyAlignment="1">
      <alignment horizontal="right"/>
    </xf>
    <xf numFmtId="164" fontId="4108" fillId="0" borderId="4444" xfId="0" applyNumberFormat="1" applyFont="1" applyBorder="1" applyAlignment="1">
      <alignment horizontal="right"/>
    </xf>
    <xf numFmtId="164" fontId="3996" fillId="0" borderId="4332" xfId="0" applyNumberFormat="1" applyFont="1" applyBorder="1" applyAlignment="1">
      <alignment horizontal="right"/>
    </xf>
    <xf numFmtId="164" fontId="4035" fillId="0" borderId="4371" xfId="0" applyNumberFormat="1" applyFont="1" applyBorder="1" applyAlignment="1">
      <alignment horizontal="right"/>
    </xf>
    <xf numFmtId="164" fontId="4070" fillId="0" borderId="4406" xfId="0" applyNumberFormat="1" applyFont="1" applyBorder="1" applyAlignment="1">
      <alignment horizontal="right"/>
    </xf>
    <xf numFmtId="164" fontId="4109" fillId="0" borderId="4445" xfId="0" applyNumberFormat="1" applyFont="1" applyBorder="1" applyAlignment="1">
      <alignment horizontal="right"/>
    </xf>
    <xf numFmtId="164" fontId="3997" fillId="0" borderId="4333" xfId="0" applyNumberFormat="1" applyFont="1" applyBorder="1" applyAlignment="1">
      <alignment horizontal="right"/>
    </xf>
    <xf numFmtId="164" fontId="4036" fillId="0" borderId="4372" xfId="0" applyNumberFormat="1" applyFont="1" applyBorder="1" applyAlignment="1">
      <alignment horizontal="right"/>
    </xf>
    <xf numFmtId="164" fontId="4071" fillId="0" borderId="4407" xfId="0" applyNumberFormat="1" applyFont="1" applyBorder="1" applyAlignment="1">
      <alignment horizontal="right"/>
    </xf>
    <xf numFmtId="164" fontId="4110" fillId="0" borderId="4446" xfId="0" applyNumberFormat="1" applyFont="1" applyBorder="1" applyAlignment="1">
      <alignment horizontal="right"/>
    </xf>
    <xf numFmtId="164" fontId="3998" fillId="0" borderId="4334" xfId="0" applyNumberFormat="1" applyFont="1" applyBorder="1" applyAlignment="1">
      <alignment horizontal="right"/>
    </xf>
    <xf numFmtId="164" fontId="4037" fillId="0" borderId="4373" xfId="0" applyNumberFormat="1" applyFont="1" applyBorder="1" applyAlignment="1">
      <alignment horizontal="right"/>
    </xf>
    <xf numFmtId="164" fontId="4072" fillId="0" borderId="4408" xfId="0" applyNumberFormat="1" applyFont="1" applyBorder="1" applyAlignment="1">
      <alignment horizontal="right"/>
    </xf>
    <xf numFmtId="164" fontId="4111" fillId="0" borderId="4447" xfId="0" applyNumberFormat="1" applyFont="1" applyBorder="1" applyAlignment="1">
      <alignment horizontal="right"/>
    </xf>
    <xf numFmtId="164" fontId="3999" fillId="0" borderId="4335" xfId="0" applyNumberFormat="1" applyFont="1" applyBorder="1" applyAlignment="1">
      <alignment horizontal="right"/>
    </xf>
    <xf numFmtId="164" fontId="4038" fillId="0" borderId="4374" xfId="0" applyNumberFormat="1" applyFont="1" applyBorder="1" applyAlignment="1">
      <alignment horizontal="right"/>
    </xf>
    <xf numFmtId="164" fontId="4073" fillId="0" borderId="4409" xfId="0" applyNumberFormat="1" applyFont="1" applyBorder="1" applyAlignment="1">
      <alignment horizontal="right"/>
    </xf>
    <xf numFmtId="164" fontId="4112" fillId="0" borderId="4448" xfId="0" applyNumberFormat="1" applyFont="1" applyBorder="1" applyAlignment="1">
      <alignment horizontal="right"/>
    </xf>
    <xf numFmtId="164" fontId="3962" fillId="0" borderId="4298" xfId="0" applyNumberFormat="1" applyFont="1" applyBorder="1" applyAlignment="1">
      <alignment horizontal="right"/>
    </xf>
    <xf numFmtId="164" fontId="4001" fillId="0" borderId="4337" xfId="0" applyNumberFormat="1" applyFont="1" applyBorder="1" applyAlignment="1">
      <alignment horizontal="right"/>
    </xf>
    <xf numFmtId="164" fontId="4040" fillId="0" borderId="4376" xfId="0" applyNumberFormat="1" applyFont="1" applyBorder="1" applyAlignment="1">
      <alignment horizontal="right"/>
    </xf>
    <xf numFmtId="164" fontId="4075" fillId="0" borderId="4411" xfId="0" applyNumberFormat="1" applyFont="1" applyBorder="1" applyAlignment="1">
      <alignment horizontal="right"/>
    </xf>
    <xf numFmtId="164" fontId="3641" fillId="0" borderId="3949" xfId="0" applyNumberFormat="1" applyFont="1" applyBorder="1" applyAlignment="1">
      <alignment horizontal="right"/>
    </xf>
    <xf numFmtId="164" fontId="3726" fillId="0" borderId="4041" xfId="0" applyNumberFormat="1" applyFont="1" applyBorder="1" applyAlignment="1">
      <alignment horizontal="right"/>
    </xf>
    <xf numFmtId="164" fontId="3809" fillId="0" borderId="4131" xfId="0" applyNumberFormat="1" applyFont="1" applyBorder="1" applyAlignment="1">
      <alignment horizontal="right"/>
    </xf>
    <xf numFmtId="164" fontId="3886" fillId="0" borderId="4215" xfId="0" applyNumberFormat="1" applyFont="1" applyBorder="1" applyAlignment="1">
      <alignment horizontal="right"/>
    </xf>
    <xf numFmtId="164" fontId="3642" fillId="0" borderId="3950" xfId="0" applyNumberFormat="1" applyFont="1" applyBorder="1" applyAlignment="1">
      <alignment horizontal="right"/>
    </xf>
    <xf numFmtId="164" fontId="3727" fillId="0" borderId="4042" xfId="0" applyNumberFormat="1" applyFont="1" applyBorder="1" applyAlignment="1">
      <alignment horizontal="right"/>
    </xf>
    <xf numFmtId="164" fontId="3810" fillId="0" borderId="4132" xfId="0" applyNumberFormat="1" applyFont="1" applyBorder="1" applyAlignment="1">
      <alignment horizontal="right"/>
    </xf>
    <xf numFmtId="164" fontId="3887" fillId="0" borderId="4216" xfId="0" applyNumberFormat="1" applyFont="1" applyBorder="1" applyAlignment="1">
      <alignment horizontal="right"/>
    </xf>
    <xf numFmtId="164" fontId="3643" fillId="0" borderId="3951" xfId="0" applyNumberFormat="1" applyFont="1" applyBorder="1" applyAlignment="1">
      <alignment horizontal="right"/>
    </xf>
    <xf numFmtId="164" fontId="3728" fillId="0" borderId="4043" xfId="0" applyNumberFormat="1" applyFont="1" applyBorder="1" applyAlignment="1">
      <alignment horizontal="right"/>
    </xf>
    <xf numFmtId="164" fontId="3811" fillId="0" borderId="4133" xfId="0" applyNumberFormat="1" applyFont="1" applyBorder="1" applyAlignment="1">
      <alignment horizontal="right"/>
    </xf>
    <xf numFmtId="164" fontId="3888" fillId="0" borderId="4217" xfId="0" applyNumberFormat="1" applyFont="1" applyBorder="1" applyAlignment="1">
      <alignment horizontal="right"/>
    </xf>
    <xf numFmtId="164" fontId="3644" fillId="0" borderId="3952" xfId="0" applyNumberFormat="1" applyFont="1" applyBorder="1" applyAlignment="1">
      <alignment horizontal="right"/>
    </xf>
    <xf numFmtId="164" fontId="3729" fillId="0" borderId="4044" xfId="0" applyNumberFormat="1" applyFont="1" applyBorder="1" applyAlignment="1">
      <alignment horizontal="right"/>
    </xf>
    <xf numFmtId="164" fontId="3812" fillId="0" borderId="4134" xfId="0" applyNumberFormat="1" applyFont="1" applyBorder="1" applyAlignment="1">
      <alignment horizontal="right"/>
    </xf>
    <xf numFmtId="164" fontId="3889" fillId="0" borderId="4218" xfId="0" applyNumberFormat="1" applyFont="1" applyBorder="1" applyAlignment="1">
      <alignment horizontal="right"/>
    </xf>
    <xf numFmtId="164" fontId="3645" fillId="0" borderId="3953" xfId="0" applyNumberFormat="1" applyFont="1" applyBorder="1" applyAlignment="1">
      <alignment horizontal="right"/>
    </xf>
    <xf numFmtId="164" fontId="3730" fillId="0" borderId="4045" xfId="0" applyNumberFormat="1" applyFont="1" applyBorder="1" applyAlignment="1">
      <alignment horizontal="right"/>
    </xf>
    <xf numFmtId="164" fontId="3813" fillId="0" borderId="4135" xfId="0" applyNumberFormat="1" applyFont="1" applyBorder="1" applyAlignment="1">
      <alignment horizontal="right"/>
    </xf>
    <xf numFmtId="164" fontId="3890" fillId="0" borderId="4219" xfId="0" applyNumberFormat="1" applyFont="1" applyBorder="1" applyAlignment="1">
      <alignment horizontal="right"/>
    </xf>
    <xf numFmtId="164" fontId="3646" fillId="0" borderId="3954" xfId="0" applyNumberFormat="1" applyFont="1" applyBorder="1" applyAlignment="1">
      <alignment horizontal="right"/>
    </xf>
    <xf numFmtId="164" fontId="3731" fillId="0" borderId="4046" xfId="0" applyNumberFormat="1" applyFont="1" applyBorder="1" applyAlignment="1">
      <alignment horizontal="right"/>
    </xf>
    <xf numFmtId="164" fontId="3814" fillId="0" borderId="4136" xfId="0" applyNumberFormat="1" applyFont="1" applyBorder="1" applyAlignment="1">
      <alignment horizontal="right"/>
    </xf>
    <xf numFmtId="164" fontId="3891" fillId="0" borderId="4220" xfId="0" applyNumberFormat="1" applyFont="1" applyBorder="1" applyAlignment="1">
      <alignment horizontal="right"/>
    </xf>
    <xf numFmtId="164" fontId="3647" fillId="0" borderId="3955" xfId="0" applyNumberFormat="1" applyFont="1" applyBorder="1" applyAlignment="1">
      <alignment horizontal="right"/>
    </xf>
    <xf numFmtId="164" fontId="3732" fillId="0" borderId="4047" xfId="0" applyNumberFormat="1" applyFont="1" applyBorder="1" applyAlignment="1">
      <alignment horizontal="right"/>
    </xf>
    <xf numFmtId="164" fontId="3815" fillId="0" borderId="4137" xfId="0" applyNumberFormat="1" applyFont="1" applyBorder="1" applyAlignment="1">
      <alignment horizontal="right"/>
    </xf>
    <xf numFmtId="164" fontId="3892" fillId="0" borderId="4221" xfId="0" applyNumberFormat="1" applyFont="1" applyBorder="1" applyAlignment="1">
      <alignment horizontal="right"/>
    </xf>
    <xf numFmtId="164" fontId="3648" fillId="0" borderId="3956" xfId="0" applyNumberFormat="1" applyFont="1" applyBorder="1" applyAlignment="1">
      <alignment horizontal="right"/>
    </xf>
    <xf numFmtId="164" fontId="3733" fillId="0" borderId="4048" xfId="0" applyNumberFormat="1" applyFont="1" applyBorder="1" applyAlignment="1">
      <alignment horizontal="right"/>
    </xf>
    <xf numFmtId="164" fontId="3816" fillId="0" borderId="4138" xfId="0" applyNumberFormat="1" applyFont="1" applyBorder="1" applyAlignment="1">
      <alignment horizontal="right"/>
    </xf>
    <xf numFmtId="164" fontId="3893" fillId="0" borderId="4222" xfId="0" applyNumberFormat="1" applyFont="1" applyBorder="1" applyAlignment="1">
      <alignment horizontal="right"/>
    </xf>
    <xf numFmtId="164" fontId="3649" fillId="0" borderId="3957" xfId="0" applyNumberFormat="1" applyFont="1" applyBorder="1" applyAlignment="1">
      <alignment horizontal="right"/>
    </xf>
    <xf numFmtId="164" fontId="3734" fillId="0" borderId="4049" xfId="0" applyNumberFormat="1" applyFont="1" applyBorder="1" applyAlignment="1">
      <alignment horizontal="right"/>
    </xf>
    <xf numFmtId="164" fontId="3817" fillId="0" borderId="4139" xfId="0" applyNumberFormat="1" applyFont="1" applyBorder="1" applyAlignment="1">
      <alignment horizontal="right"/>
    </xf>
    <xf numFmtId="164" fontId="3894" fillId="0" borderId="4223" xfId="0" applyNumberFormat="1" applyFont="1" applyBorder="1" applyAlignment="1">
      <alignment horizontal="right"/>
    </xf>
    <xf numFmtId="164" fontId="3650" fillId="0" borderId="3958" xfId="0" applyNumberFormat="1" applyFont="1" applyBorder="1" applyAlignment="1">
      <alignment horizontal="right"/>
    </xf>
    <xf numFmtId="164" fontId="3735" fillId="0" borderId="4050" xfId="0" applyNumberFormat="1" applyFont="1" applyBorder="1" applyAlignment="1">
      <alignment horizontal="right"/>
    </xf>
    <xf numFmtId="164" fontId="3818" fillId="0" borderId="4140" xfId="0" applyNumberFormat="1" applyFont="1" applyBorder="1" applyAlignment="1">
      <alignment horizontal="right"/>
    </xf>
    <xf numFmtId="164" fontId="3895" fillId="0" borderId="4224" xfId="0" applyNumberFormat="1" applyFont="1" applyBorder="1" applyAlignment="1">
      <alignment horizontal="right"/>
    </xf>
    <xf numFmtId="164" fontId="3651" fillId="0" borderId="3959" xfId="0" applyNumberFormat="1" applyFont="1" applyBorder="1" applyAlignment="1">
      <alignment horizontal="right"/>
    </xf>
    <xf numFmtId="164" fontId="3736" fillId="0" borderId="4051" xfId="0" applyNumberFormat="1" applyFont="1" applyBorder="1" applyAlignment="1">
      <alignment horizontal="right"/>
    </xf>
    <xf numFmtId="164" fontId="3819" fillId="0" borderId="4141" xfId="0" applyNumberFormat="1" applyFont="1" applyBorder="1" applyAlignment="1">
      <alignment horizontal="right"/>
    </xf>
    <xf numFmtId="164" fontId="3896" fillId="0" borderId="4225" xfId="0" applyNumberFormat="1" applyFont="1" applyBorder="1" applyAlignment="1">
      <alignment horizontal="right"/>
    </xf>
    <xf numFmtId="164" fontId="3652" fillId="0" borderId="3960" xfId="0" applyNumberFormat="1" applyFont="1" applyBorder="1" applyAlignment="1">
      <alignment horizontal="right"/>
    </xf>
    <xf numFmtId="164" fontId="3737" fillId="0" borderId="4052" xfId="0" applyNumberFormat="1" applyFont="1" applyBorder="1" applyAlignment="1">
      <alignment horizontal="right"/>
    </xf>
    <xf numFmtId="164" fontId="3820" fillId="0" borderId="4142" xfId="0" applyNumberFormat="1" applyFont="1" applyBorder="1" applyAlignment="1">
      <alignment horizontal="right"/>
    </xf>
    <xf numFmtId="164" fontId="3897" fillId="0" borderId="4226" xfId="0" applyNumberFormat="1" applyFont="1" applyBorder="1" applyAlignment="1">
      <alignment horizontal="right"/>
    </xf>
    <xf numFmtId="164" fontId="3653" fillId="0" borderId="3961" xfId="0" applyNumberFormat="1" applyFont="1" applyBorder="1" applyAlignment="1">
      <alignment horizontal="right"/>
    </xf>
    <xf numFmtId="164" fontId="3738" fillId="0" borderId="4053" xfId="0" applyNumberFormat="1" applyFont="1" applyBorder="1" applyAlignment="1">
      <alignment horizontal="right"/>
    </xf>
    <xf numFmtId="164" fontId="3821" fillId="0" borderId="4143" xfId="0" applyNumberFormat="1" applyFont="1" applyBorder="1" applyAlignment="1">
      <alignment horizontal="right"/>
    </xf>
    <xf numFmtId="164" fontId="3898" fillId="0" borderId="4227" xfId="0" applyNumberFormat="1" applyFont="1" applyBorder="1" applyAlignment="1">
      <alignment horizontal="right"/>
    </xf>
    <xf numFmtId="164" fontId="3654" fillId="0" borderId="3962" xfId="0" applyNumberFormat="1" applyFont="1" applyBorder="1" applyAlignment="1">
      <alignment horizontal="right"/>
    </xf>
    <xf numFmtId="164" fontId="3739" fillId="0" borderId="4054" xfId="0" applyNumberFormat="1" applyFont="1" applyBorder="1" applyAlignment="1">
      <alignment horizontal="right"/>
    </xf>
    <xf numFmtId="164" fontId="3822" fillId="0" borderId="4144" xfId="0" applyNumberFormat="1" applyFont="1" applyBorder="1" applyAlignment="1">
      <alignment horizontal="right"/>
    </xf>
    <xf numFmtId="164" fontId="3899" fillId="0" borderId="4228" xfId="0" applyNumberFormat="1" applyFont="1" applyBorder="1" applyAlignment="1">
      <alignment horizontal="right"/>
    </xf>
    <xf numFmtId="164" fontId="3655" fillId="0" borderId="3963" xfId="0" applyNumberFormat="1" applyFont="1" applyBorder="1" applyAlignment="1">
      <alignment horizontal="right"/>
    </xf>
    <xf numFmtId="164" fontId="3740" fillId="0" borderId="4055" xfId="0" applyNumberFormat="1" applyFont="1" applyBorder="1" applyAlignment="1">
      <alignment horizontal="right"/>
    </xf>
    <xf numFmtId="164" fontId="3823" fillId="0" borderId="4145" xfId="0" applyNumberFormat="1" applyFont="1" applyBorder="1" applyAlignment="1">
      <alignment horizontal="right"/>
    </xf>
    <xf numFmtId="164" fontId="3900" fillId="0" borderId="4229" xfId="0" applyNumberFormat="1" applyFont="1" applyBorder="1" applyAlignment="1">
      <alignment horizontal="right"/>
    </xf>
    <xf numFmtId="164" fontId="3631" fillId="0" borderId="3939" xfId="0" applyNumberFormat="1" applyFont="1" applyBorder="1" applyAlignment="1">
      <alignment horizontal="right"/>
    </xf>
    <xf numFmtId="164" fontId="3716" fillId="0" borderId="4031" xfId="0" applyNumberFormat="1" applyFont="1" applyBorder="1" applyAlignment="1">
      <alignment horizontal="right"/>
    </xf>
    <xf numFmtId="164" fontId="3801" fillId="0" borderId="4123" xfId="0" applyNumberFormat="1" applyFont="1" applyBorder="1" applyAlignment="1">
      <alignment horizontal="right"/>
    </xf>
    <xf numFmtId="164" fontId="3876" fillId="0" borderId="4205" xfId="0" applyNumberFormat="1" applyFont="1" applyBorder="1" applyAlignment="1">
      <alignment horizontal="right"/>
    </xf>
    <xf numFmtId="164" fontId="3661" fillId="0" borderId="3969" xfId="0" applyNumberFormat="1" applyFont="1" applyBorder="1" applyAlignment="1">
      <alignment horizontal="right"/>
    </xf>
    <xf numFmtId="164" fontId="3746" fillId="0" borderId="4061" xfId="0" applyNumberFormat="1" applyFont="1" applyBorder="1" applyAlignment="1">
      <alignment horizontal="right"/>
    </xf>
    <xf numFmtId="164" fontId="3827" fillId="0" borderId="4149" xfId="0" applyNumberFormat="1" applyFont="1" applyBorder="1" applyAlignment="1">
      <alignment horizontal="right"/>
    </xf>
    <xf numFmtId="164" fontId="3906" fillId="0" borderId="4235" xfId="0" applyNumberFormat="1" applyFont="1" applyBorder="1" applyAlignment="1">
      <alignment horizontal="right"/>
    </xf>
    <xf numFmtId="164" fontId="3662" fillId="0" borderId="3970" xfId="0" applyNumberFormat="1" applyFont="1" applyBorder="1" applyAlignment="1">
      <alignment horizontal="right"/>
    </xf>
    <xf numFmtId="164" fontId="3747" fillId="0" borderId="4062" xfId="0" applyNumberFormat="1" applyFont="1" applyBorder="1" applyAlignment="1">
      <alignment horizontal="right"/>
    </xf>
    <xf numFmtId="164" fontId="3828" fillId="0" borderId="4150" xfId="0" applyNumberFormat="1" applyFont="1" applyBorder="1" applyAlignment="1">
      <alignment horizontal="right"/>
    </xf>
    <xf numFmtId="164" fontId="3907" fillId="0" borderId="4236" xfId="0" applyNumberFormat="1" applyFont="1" applyBorder="1" applyAlignment="1">
      <alignment horizontal="right"/>
    </xf>
    <xf numFmtId="164" fontId="3663" fillId="0" borderId="3971" xfId="0" applyNumberFormat="1" applyFont="1" applyBorder="1" applyAlignment="1">
      <alignment horizontal="right"/>
    </xf>
    <xf numFmtId="164" fontId="3748" fillId="0" borderId="4063" xfId="0" applyNumberFormat="1" applyFont="1" applyBorder="1" applyAlignment="1">
      <alignment horizontal="right"/>
    </xf>
    <xf numFmtId="164" fontId="3829" fillId="0" borderId="4151" xfId="0" applyNumberFormat="1" applyFont="1" applyBorder="1" applyAlignment="1">
      <alignment horizontal="right"/>
    </xf>
    <xf numFmtId="164" fontId="3908" fillId="0" borderId="4237" xfId="0" applyNumberFormat="1" applyFont="1" applyBorder="1" applyAlignment="1">
      <alignment horizontal="right"/>
    </xf>
    <xf numFmtId="164" fontId="3664" fillId="0" borderId="3972" xfId="0" applyNumberFormat="1" applyFont="1" applyBorder="1" applyAlignment="1">
      <alignment horizontal="right"/>
    </xf>
    <xf numFmtId="164" fontId="3749" fillId="0" borderId="4064" xfId="0" applyNumberFormat="1" applyFont="1" applyBorder="1" applyAlignment="1">
      <alignment horizontal="right"/>
    </xf>
    <xf numFmtId="164" fontId="3830" fillId="0" borderId="4152" xfId="0" applyNumberFormat="1" applyFont="1" applyBorder="1" applyAlignment="1">
      <alignment horizontal="right"/>
    </xf>
    <xf numFmtId="164" fontId="3909" fillId="0" borderId="4238" xfId="0" applyNumberFormat="1" applyFont="1" applyBorder="1" applyAlignment="1">
      <alignment horizontal="right"/>
    </xf>
    <xf numFmtId="164" fontId="3665" fillId="0" borderId="3973" xfId="0" applyNumberFormat="1" applyFont="1" applyBorder="1" applyAlignment="1">
      <alignment horizontal="right"/>
    </xf>
    <xf numFmtId="164" fontId="3750" fillId="0" borderId="4065" xfId="0" applyNumberFormat="1" applyFont="1" applyBorder="1" applyAlignment="1">
      <alignment horizontal="right"/>
    </xf>
    <xf numFmtId="164" fontId="3831" fillId="0" borderId="4153" xfId="0" applyNumberFormat="1" applyFont="1" applyBorder="1" applyAlignment="1">
      <alignment horizontal="right"/>
    </xf>
    <xf numFmtId="164" fontId="3910" fillId="0" borderId="4239" xfId="0" applyNumberFormat="1" applyFont="1" applyBorder="1" applyAlignment="1">
      <alignment horizontal="right"/>
    </xf>
    <xf numFmtId="164" fontId="3666" fillId="0" borderId="3974" xfId="0" applyNumberFormat="1" applyFont="1" applyBorder="1" applyAlignment="1">
      <alignment horizontal="right"/>
    </xf>
    <xf numFmtId="164" fontId="3751" fillId="0" borderId="4066" xfId="0" applyNumberFormat="1" applyFont="1" applyBorder="1" applyAlignment="1">
      <alignment horizontal="right"/>
    </xf>
    <xf numFmtId="164" fontId="3832" fillId="0" borderId="4154" xfId="0" applyNumberFormat="1" applyFont="1" applyBorder="1" applyAlignment="1">
      <alignment horizontal="right"/>
    </xf>
    <xf numFmtId="164" fontId="3911" fillId="0" borderId="4240" xfId="0" applyNumberFormat="1" applyFont="1" applyBorder="1" applyAlignment="1">
      <alignment horizontal="right"/>
    </xf>
    <xf numFmtId="164" fontId="3667" fillId="0" borderId="3975" xfId="0" applyNumberFormat="1" applyFont="1" applyBorder="1" applyAlignment="1">
      <alignment horizontal="right"/>
    </xf>
    <xf numFmtId="164" fontId="3752" fillId="0" borderId="4067" xfId="0" applyNumberFormat="1" applyFont="1" applyBorder="1" applyAlignment="1">
      <alignment horizontal="right"/>
    </xf>
    <xf numFmtId="164" fontId="3833" fillId="0" borderId="4155" xfId="0" applyNumberFormat="1" applyFont="1" applyBorder="1" applyAlignment="1">
      <alignment horizontal="right"/>
    </xf>
    <xf numFmtId="164" fontId="3912" fillId="0" borderId="4241" xfId="0" applyNumberFormat="1" applyFont="1" applyBorder="1" applyAlignment="1">
      <alignment horizontal="right"/>
    </xf>
    <xf numFmtId="164" fontId="3668" fillId="0" borderId="3976" xfId="0" applyNumberFormat="1" applyFont="1" applyBorder="1" applyAlignment="1">
      <alignment horizontal="right"/>
    </xf>
    <xf numFmtId="164" fontId="3753" fillId="0" borderId="4068" xfId="0" applyNumberFormat="1" applyFont="1" applyBorder="1" applyAlignment="1">
      <alignment horizontal="right"/>
    </xf>
    <xf numFmtId="164" fontId="3834" fillId="0" borderId="4156" xfId="0" applyNumberFormat="1" applyFont="1" applyBorder="1" applyAlignment="1">
      <alignment horizontal="right"/>
    </xf>
    <xf numFmtId="164" fontId="3913" fillId="0" borderId="4242" xfId="0" applyNumberFormat="1" applyFont="1" applyBorder="1" applyAlignment="1">
      <alignment horizontal="right"/>
    </xf>
    <xf numFmtId="164" fontId="3669" fillId="0" borderId="3977" xfId="0" applyNumberFormat="1" applyFont="1" applyBorder="1" applyAlignment="1">
      <alignment horizontal="right"/>
    </xf>
    <xf numFmtId="164" fontId="3754" fillId="0" borderId="4069" xfId="0" applyNumberFormat="1" applyFont="1" applyBorder="1" applyAlignment="1">
      <alignment horizontal="right"/>
    </xf>
    <xf numFmtId="164" fontId="3835" fillId="0" borderId="4157" xfId="0" applyNumberFormat="1" applyFont="1" applyBorder="1" applyAlignment="1">
      <alignment horizontal="right"/>
    </xf>
    <xf numFmtId="164" fontId="3914" fillId="0" borderId="4243" xfId="0" applyNumberFormat="1" applyFont="1" applyBorder="1" applyAlignment="1">
      <alignment horizontal="right"/>
    </xf>
    <xf numFmtId="164" fontId="3670" fillId="0" borderId="3978" xfId="0" applyNumberFormat="1" applyFont="1" applyBorder="1" applyAlignment="1">
      <alignment horizontal="right"/>
    </xf>
    <xf numFmtId="164" fontId="3755" fillId="0" borderId="4070" xfId="0" applyNumberFormat="1" applyFont="1" applyBorder="1" applyAlignment="1">
      <alignment horizontal="right"/>
    </xf>
    <xf numFmtId="164" fontId="3836" fillId="0" borderId="4158" xfId="0" applyNumberFormat="1" applyFont="1" applyBorder="1" applyAlignment="1">
      <alignment horizontal="right"/>
    </xf>
    <xf numFmtId="164" fontId="3915" fillId="0" borderId="4244" xfId="0" applyNumberFormat="1" applyFont="1" applyBorder="1" applyAlignment="1">
      <alignment horizontal="right"/>
    </xf>
    <xf numFmtId="164" fontId="3671" fillId="0" borderId="3979" xfId="0" applyNumberFormat="1" applyFont="1" applyBorder="1" applyAlignment="1">
      <alignment horizontal="right"/>
    </xf>
    <xf numFmtId="164" fontId="3756" fillId="0" borderId="4071" xfId="0" applyNumberFormat="1" applyFont="1" applyBorder="1" applyAlignment="1">
      <alignment horizontal="right"/>
    </xf>
    <xf numFmtId="164" fontId="3837" fillId="0" borderId="4159" xfId="0" applyNumberFormat="1" applyFont="1" applyBorder="1" applyAlignment="1">
      <alignment horizontal="right"/>
    </xf>
    <xf numFmtId="164" fontId="3916" fillId="0" borderId="4245" xfId="0" applyNumberFormat="1" applyFont="1" applyBorder="1" applyAlignment="1">
      <alignment horizontal="right"/>
    </xf>
    <xf numFmtId="164" fontId="3672" fillId="0" borderId="3980" xfId="0" applyNumberFormat="1" applyFont="1" applyBorder="1" applyAlignment="1">
      <alignment horizontal="right"/>
    </xf>
    <xf numFmtId="164" fontId="3757" fillId="0" borderId="4072" xfId="0" applyNumberFormat="1" applyFont="1" applyBorder="1" applyAlignment="1">
      <alignment horizontal="right"/>
    </xf>
    <xf numFmtId="164" fontId="3838" fillId="0" borderId="4160" xfId="0" applyNumberFormat="1" applyFont="1" applyBorder="1" applyAlignment="1">
      <alignment horizontal="right"/>
    </xf>
    <xf numFmtId="164" fontId="3917" fillId="0" borderId="4246" xfId="0" applyNumberFormat="1" applyFont="1" applyBorder="1" applyAlignment="1">
      <alignment horizontal="right"/>
    </xf>
    <xf numFmtId="164" fontId="3673" fillId="0" borderId="3981" xfId="0" applyNumberFormat="1" applyFont="1" applyBorder="1" applyAlignment="1">
      <alignment horizontal="right"/>
    </xf>
    <xf numFmtId="164" fontId="3758" fillId="0" borderId="4073" xfId="0" applyNumberFormat="1" applyFont="1" applyBorder="1" applyAlignment="1">
      <alignment horizontal="right"/>
    </xf>
    <xf numFmtId="164" fontId="3839" fillId="0" borderId="4161" xfId="0" applyNumberFormat="1" applyFont="1" applyBorder="1" applyAlignment="1">
      <alignment horizontal="right"/>
    </xf>
    <xf numFmtId="164" fontId="3918" fillId="0" borderId="4247" xfId="0" applyNumberFormat="1" applyFont="1" applyBorder="1" applyAlignment="1">
      <alignment horizontal="right"/>
    </xf>
    <xf numFmtId="164" fontId="3674" fillId="0" borderId="3982" xfId="0" applyNumberFormat="1" applyFont="1" applyBorder="1" applyAlignment="1">
      <alignment horizontal="right"/>
    </xf>
    <xf numFmtId="164" fontId="3759" fillId="0" borderId="4074" xfId="0" applyNumberFormat="1" applyFont="1" applyBorder="1" applyAlignment="1">
      <alignment horizontal="right"/>
    </xf>
    <xf numFmtId="164" fontId="3840" fillId="0" borderId="4162" xfId="0" applyNumberFormat="1" applyFont="1" applyBorder="1" applyAlignment="1">
      <alignment horizontal="right"/>
    </xf>
    <xf numFmtId="164" fontId="3919" fillId="0" borderId="4248" xfId="0" applyNumberFormat="1" applyFont="1" applyBorder="1" applyAlignment="1">
      <alignment horizontal="right"/>
    </xf>
    <xf numFmtId="164" fontId="3675" fillId="0" borderId="3983" xfId="0" applyNumberFormat="1" applyFont="1" applyBorder="1" applyAlignment="1">
      <alignment horizontal="right"/>
    </xf>
    <xf numFmtId="164" fontId="3760" fillId="0" borderId="4075" xfId="0" applyNumberFormat="1" applyFont="1" applyBorder="1" applyAlignment="1">
      <alignment horizontal="right"/>
    </xf>
    <xf numFmtId="164" fontId="3841" fillId="0" borderId="4163" xfId="0" applyNumberFormat="1" applyFont="1" applyBorder="1" applyAlignment="1">
      <alignment horizontal="right"/>
    </xf>
    <xf numFmtId="164" fontId="3920" fillId="0" borderId="4249" xfId="0" applyNumberFormat="1" applyFont="1" applyBorder="1" applyAlignment="1">
      <alignment horizontal="right"/>
    </xf>
    <xf numFmtId="164" fontId="3632" fillId="0" borderId="3940" xfId="0" applyNumberFormat="1" applyFont="1" applyBorder="1" applyAlignment="1">
      <alignment horizontal="right"/>
    </xf>
    <xf numFmtId="164" fontId="3717" fillId="0" borderId="4032" xfId="0" applyNumberFormat="1" applyFont="1" applyBorder="1" applyAlignment="1">
      <alignment horizontal="right"/>
    </xf>
    <xf numFmtId="164" fontId="3802" fillId="0" borderId="4124" xfId="0" applyNumberFormat="1" applyFont="1" applyBorder="1" applyAlignment="1">
      <alignment horizontal="right"/>
    </xf>
    <xf numFmtId="164" fontId="3877" fillId="0" borderId="4206" xfId="0" applyNumberFormat="1" applyFont="1" applyBorder="1" applyAlignment="1">
      <alignment horizontal="right"/>
    </xf>
    <xf numFmtId="164" fontId="3681" fillId="0" borderId="3989" xfId="0" applyNumberFormat="1" applyFont="1" applyBorder="1" applyAlignment="1">
      <alignment horizontal="right"/>
    </xf>
    <xf numFmtId="164" fontId="3766" fillId="0" borderId="4081" xfId="0" applyNumberFormat="1" applyFont="1" applyBorder="1" applyAlignment="1">
      <alignment horizontal="right"/>
    </xf>
    <xf numFmtId="164" fontId="3845" fillId="0" borderId="4167" xfId="0" applyNumberFormat="1" applyFont="1" applyBorder="1" applyAlignment="1">
      <alignment horizontal="right"/>
    </xf>
    <xf numFmtId="164" fontId="3926" fillId="0" borderId="4255" xfId="0" applyNumberFormat="1" applyFont="1" applyBorder="1" applyAlignment="1">
      <alignment horizontal="right"/>
    </xf>
    <xf numFmtId="164" fontId="3682" fillId="0" borderId="3990" xfId="0" applyNumberFormat="1" applyFont="1" applyBorder="1" applyAlignment="1">
      <alignment horizontal="right"/>
    </xf>
    <xf numFmtId="164" fontId="3767" fillId="0" borderId="4082" xfId="0" applyNumberFormat="1" applyFont="1" applyBorder="1" applyAlignment="1">
      <alignment horizontal="right"/>
    </xf>
    <xf numFmtId="164" fontId="3846" fillId="0" borderId="4168" xfId="0" applyNumberFormat="1" applyFont="1" applyBorder="1" applyAlignment="1">
      <alignment horizontal="right"/>
    </xf>
    <xf numFmtId="164" fontId="3927" fillId="0" borderId="4256" xfId="0" applyNumberFormat="1" applyFont="1" applyBorder="1" applyAlignment="1">
      <alignment horizontal="right"/>
    </xf>
    <xf numFmtId="164" fontId="3683" fillId="0" borderId="3991" xfId="0" applyNumberFormat="1" applyFont="1" applyBorder="1" applyAlignment="1">
      <alignment horizontal="right"/>
    </xf>
    <xf numFmtId="164" fontId="3768" fillId="0" borderId="4083" xfId="0" applyNumberFormat="1" applyFont="1" applyBorder="1" applyAlignment="1">
      <alignment horizontal="right"/>
    </xf>
    <xf numFmtId="164" fontId="3847" fillId="0" borderId="4169" xfId="0" applyNumberFormat="1" applyFont="1" applyBorder="1" applyAlignment="1">
      <alignment horizontal="right"/>
    </xf>
    <xf numFmtId="164" fontId="3928" fillId="0" borderId="4257" xfId="0" applyNumberFormat="1" applyFont="1" applyBorder="1" applyAlignment="1">
      <alignment horizontal="right"/>
    </xf>
    <xf numFmtId="164" fontId="3684" fillId="0" borderId="3992" xfId="0" applyNumberFormat="1" applyFont="1" applyBorder="1" applyAlignment="1">
      <alignment horizontal="right"/>
    </xf>
    <xf numFmtId="164" fontId="3769" fillId="0" borderId="4084" xfId="0" applyNumberFormat="1" applyFont="1" applyBorder="1" applyAlignment="1">
      <alignment horizontal="right"/>
    </xf>
    <xf numFmtId="164" fontId="3848" fillId="0" borderId="4170" xfId="0" applyNumberFormat="1" applyFont="1" applyBorder="1" applyAlignment="1">
      <alignment horizontal="right"/>
    </xf>
    <xf numFmtId="164" fontId="3929" fillId="0" borderId="4258" xfId="0" applyNumberFormat="1" applyFont="1" applyBorder="1" applyAlignment="1">
      <alignment horizontal="right"/>
    </xf>
    <xf numFmtId="164" fontId="3685" fillId="0" borderId="3993" xfId="0" applyNumberFormat="1" applyFont="1" applyBorder="1" applyAlignment="1">
      <alignment horizontal="right"/>
    </xf>
    <xf numFmtId="164" fontId="3770" fillId="0" borderId="4085" xfId="0" applyNumberFormat="1" applyFont="1" applyBorder="1" applyAlignment="1">
      <alignment horizontal="right"/>
    </xf>
    <xf numFmtId="164" fontId="3849" fillId="0" borderId="4171" xfId="0" applyNumberFormat="1" applyFont="1" applyBorder="1" applyAlignment="1">
      <alignment horizontal="right"/>
    </xf>
    <xf numFmtId="164" fontId="3930" fillId="0" borderId="4259" xfId="0" applyNumberFormat="1" applyFont="1" applyBorder="1" applyAlignment="1">
      <alignment horizontal="right"/>
    </xf>
    <xf numFmtId="164" fontId="3686" fillId="0" borderId="3994" xfId="0" applyNumberFormat="1" applyFont="1" applyBorder="1" applyAlignment="1">
      <alignment horizontal="right"/>
    </xf>
    <xf numFmtId="164" fontId="3771" fillId="0" borderId="4086" xfId="0" applyNumberFormat="1" applyFont="1" applyBorder="1" applyAlignment="1">
      <alignment horizontal="right"/>
    </xf>
    <xf numFmtId="164" fontId="3850" fillId="0" borderId="4172" xfId="0" applyNumberFormat="1" applyFont="1" applyBorder="1" applyAlignment="1">
      <alignment horizontal="right"/>
    </xf>
    <xf numFmtId="164" fontId="3931" fillId="0" borderId="4260" xfId="0" applyNumberFormat="1" applyFont="1" applyBorder="1" applyAlignment="1">
      <alignment horizontal="right"/>
    </xf>
    <xf numFmtId="164" fontId="3687" fillId="0" borderId="3995" xfId="0" applyNumberFormat="1" applyFont="1" applyBorder="1" applyAlignment="1">
      <alignment horizontal="right"/>
    </xf>
    <xf numFmtId="164" fontId="3772" fillId="0" borderId="4087" xfId="0" applyNumberFormat="1" applyFont="1" applyBorder="1" applyAlignment="1">
      <alignment horizontal="right"/>
    </xf>
    <xf numFmtId="164" fontId="3851" fillId="0" borderId="4173" xfId="0" applyNumberFormat="1" applyFont="1" applyBorder="1" applyAlignment="1">
      <alignment horizontal="right"/>
    </xf>
    <xf numFmtId="164" fontId="3932" fillId="0" borderId="4261" xfId="0" applyNumberFormat="1" applyFont="1" applyBorder="1" applyAlignment="1">
      <alignment horizontal="right"/>
    </xf>
    <xf numFmtId="164" fontId="3688" fillId="0" borderId="3996" xfId="0" applyNumberFormat="1" applyFont="1" applyBorder="1" applyAlignment="1">
      <alignment horizontal="right"/>
    </xf>
    <xf numFmtId="164" fontId="3773" fillId="0" borderId="4088" xfId="0" applyNumberFormat="1" applyFont="1" applyBorder="1" applyAlignment="1">
      <alignment horizontal="right"/>
    </xf>
    <xf numFmtId="164" fontId="3852" fillId="0" borderId="4174" xfId="0" applyNumberFormat="1" applyFont="1" applyBorder="1" applyAlignment="1">
      <alignment horizontal="right"/>
    </xf>
    <xf numFmtId="164" fontId="3933" fillId="0" borderId="4262" xfId="0" applyNumberFormat="1" applyFont="1" applyBorder="1" applyAlignment="1">
      <alignment horizontal="right"/>
    </xf>
    <xf numFmtId="164" fontId="3689" fillId="0" borderId="3997" xfId="0" applyNumberFormat="1" applyFont="1" applyBorder="1" applyAlignment="1">
      <alignment horizontal="right"/>
    </xf>
    <xf numFmtId="164" fontId="3774" fillId="0" borderId="4089" xfId="0" applyNumberFormat="1" applyFont="1" applyBorder="1" applyAlignment="1">
      <alignment horizontal="right"/>
    </xf>
    <xf numFmtId="164" fontId="3853" fillId="0" borderId="4175" xfId="0" applyNumberFormat="1" applyFont="1" applyBorder="1" applyAlignment="1">
      <alignment horizontal="right"/>
    </xf>
    <xf numFmtId="164" fontId="3934" fillId="0" borderId="4263" xfId="0" applyNumberFormat="1" applyFont="1" applyBorder="1" applyAlignment="1">
      <alignment horizontal="right"/>
    </xf>
    <xf numFmtId="164" fontId="3690" fillId="0" borderId="3998" xfId="0" applyNumberFormat="1" applyFont="1" applyBorder="1" applyAlignment="1">
      <alignment horizontal="right"/>
    </xf>
    <xf numFmtId="164" fontId="3775" fillId="0" borderId="4090" xfId="0" applyNumberFormat="1" applyFont="1" applyBorder="1" applyAlignment="1">
      <alignment horizontal="right"/>
    </xf>
    <xf numFmtId="164" fontId="3854" fillId="0" borderId="4176" xfId="0" applyNumberFormat="1" applyFont="1" applyBorder="1" applyAlignment="1">
      <alignment horizontal="right"/>
    </xf>
    <xf numFmtId="164" fontId="3935" fillId="0" borderId="4264" xfId="0" applyNumberFormat="1" applyFont="1" applyBorder="1" applyAlignment="1">
      <alignment horizontal="right"/>
    </xf>
    <xf numFmtId="164" fontId="3691" fillId="0" borderId="3999" xfId="0" applyNumberFormat="1" applyFont="1" applyBorder="1" applyAlignment="1">
      <alignment horizontal="right"/>
    </xf>
    <xf numFmtId="164" fontId="3776" fillId="0" borderId="4091" xfId="0" applyNumberFormat="1" applyFont="1" applyBorder="1" applyAlignment="1">
      <alignment horizontal="right"/>
    </xf>
    <xf numFmtId="164" fontId="3855" fillId="0" borderId="4177" xfId="0" applyNumberFormat="1" applyFont="1" applyBorder="1" applyAlignment="1">
      <alignment horizontal="right"/>
    </xf>
    <xf numFmtId="164" fontId="3936" fillId="0" borderId="4265" xfId="0" applyNumberFormat="1" applyFont="1" applyBorder="1" applyAlignment="1">
      <alignment horizontal="right"/>
    </xf>
    <xf numFmtId="164" fontId="3692" fillId="0" borderId="4000" xfId="0" applyNumberFormat="1" applyFont="1" applyBorder="1" applyAlignment="1">
      <alignment horizontal="right"/>
    </xf>
    <xf numFmtId="164" fontId="3777" fillId="0" borderId="4092" xfId="0" applyNumberFormat="1" applyFont="1" applyBorder="1" applyAlignment="1">
      <alignment horizontal="right"/>
    </xf>
    <xf numFmtId="164" fontId="3856" fillId="0" borderId="4178" xfId="0" applyNumberFormat="1" applyFont="1" applyBorder="1" applyAlignment="1">
      <alignment horizontal="right"/>
    </xf>
    <xf numFmtId="164" fontId="3937" fillId="0" borderId="4266" xfId="0" applyNumberFormat="1" applyFont="1" applyBorder="1" applyAlignment="1">
      <alignment horizontal="right"/>
    </xf>
    <xf numFmtId="164" fontId="3693" fillId="0" borderId="4001" xfId="0" applyNumberFormat="1" applyFont="1" applyBorder="1" applyAlignment="1">
      <alignment horizontal="right"/>
    </xf>
    <xf numFmtId="164" fontId="3778" fillId="0" borderId="4093" xfId="0" applyNumberFormat="1" applyFont="1" applyBorder="1" applyAlignment="1">
      <alignment horizontal="right"/>
    </xf>
    <xf numFmtId="164" fontId="3857" fillId="0" borderId="4179" xfId="0" applyNumberFormat="1" applyFont="1" applyBorder="1" applyAlignment="1">
      <alignment horizontal="right"/>
    </xf>
    <xf numFmtId="164" fontId="3938" fillId="0" borderId="4267" xfId="0" applyNumberFormat="1" applyFont="1" applyBorder="1" applyAlignment="1">
      <alignment horizontal="right"/>
    </xf>
    <xf numFmtId="164" fontId="3694" fillId="0" borderId="4002" xfId="0" applyNumberFormat="1" applyFont="1" applyBorder="1" applyAlignment="1">
      <alignment horizontal="right"/>
    </xf>
    <xf numFmtId="164" fontId="3779" fillId="0" borderId="4094" xfId="0" applyNumberFormat="1" applyFont="1" applyBorder="1" applyAlignment="1">
      <alignment horizontal="right"/>
    </xf>
    <xf numFmtId="164" fontId="3858" fillId="0" borderId="4180" xfId="0" applyNumberFormat="1" applyFont="1" applyBorder="1" applyAlignment="1">
      <alignment horizontal="right"/>
    </xf>
    <xf numFmtId="164" fontId="3939" fillId="0" borderId="4268" xfId="0" applyNumberFormat="1" applyFont="1" applyBorder="1" applyAlignment="1">
      <alignment horizontal="right"/>
    </xf>
    <xf numFmtId="164" fontId="3633" fillId="0" borderId="3941" xfId="0" applyNumberFormat="1" applyFont="1" applyBorder="1" applyAlignment="1">
      <alignment horizontal="right"/>
    </xf>
    <xf numFmtId="164" fontId="3718" fillId="0" borderId="4033" xfId="0" applyNumberFormat="1" applyFont="1" applyBorder="1" applyAlignment="1">
      <alignment horizontal="right"/>
    </xf>
    <xf numFmtId="164" fontId="3803" fillId="0" borderId="4125" xfId="0" applyNumberFormat="1" applyFont="1" applyBorder="1" applyAlignment="1">
      <alignment horizontal="right"/>
    </xf>
    <xf numFmtId="164" fontId="3878" fillId="0" borderId="4207" xfId="0" applyNumberFormat="1" applyFont="1" applyBorder="1" applyAlignment="1">
      <alignment horizontal="right"/>
    </xf>
    <xf numFmtId="164" fontId="3700" fillId="0" borderId="4008" xfId="0" applyNumberFormat="1" applyFont="1" applyBorder="1" applyAlignment="1">
      <alignment horizontal="right"/>
    </xf>
    <xf numFmtId="164" fontId="3785" fillId="0" borderId="4100" xfId="0" applyNumberFormat="1" applyFont="1" applyBorder="1" applyAlignment="1">
      <alignment horizontal="right"/>
    </xf>
    <xf numFmtId="164" fontId="3862" fillId="0" borderId="4184" xfId="0" applyNumberFormat="1" applyFont="1" applyBorder="1" applyAlignment="1">
      <alignment horizontal="right"/>
    </xf>
    <xf numFmtId="164" fontId="3945" fillId="0" borderId="4274" xfId="0" applyNumberFormat="1" applyFont="1" applyBorder="1" applyAlignment="1">
      <alignment horizontal="right"/>
    </xf>
    <xf numFmtId="164" fontId="3701" fillId="0" borderId="4009" xfId="0" applyNumberFormat="1" applyFont="1" applyBorder="1" applyAlignment="1">
      <alignment horizontal="right"/>
    </xf>
    <xf numFmtId="164" fontId="3786" fillId="0" borderId="4101" xfId="0" applyNumberFormat="1" applyFont="1" applyBorder="1" applyAlignment="1">
      <alignment horizontal="right"/>
    </xf>
    <xf numFmtId="164" fontId="3863" fillId="0" borderId="4185" xfId="0" applyNumberFormat="1" applyFont="1" applyBorder="1" applyAlignment="1">
      <alignment horizontal="right"/>
    </xf>
    <xf numFmtId="164" fontId="3946" fillId="0" borderId="4275" xfId="0" applyNumberFormat="1" applyFont="1" applyBorder="1" applyAlignment="1">
      <alignment horizontal="right"/>
    </xf>
    <xf numFmtId="164" fontId="3702" fillId="0" borderId="4010" xfId="0" applyNumberFormat="1" applyFont="1" applyBorder="1" applyAlignment="1">
      <alignment horizontal="right"/>
    </xf>
    <xf numFmtId="164" fontId="3787" fillId="0" borderId="4102" xfId="0" applyNumberFormat="1" applyFont="1" applyBorder="1" applyAlignment="1">
      <alignment horizontal="right"/>
    </xf>
    <xf numFmtId="164" fontId="3864" fillId="0" borderId="4186" xfId="0" applyNumberFormat="1" applyFont="1" applyBorder="1" applyAlignment="1">
      <alignment horizontal="right"/>
    </xf>
    <xf numFmtId="164" fontId="3947" fillId="0" borderId="4276" xfId="0" applyNumberFormat="1" applyFont="1" applyBorder="1" applyAlignment="1">
      <alignment horizontal="right"/>
    </xf>
    <xf numFmtId="164" fontId="3703" fillId="0" borderId="4011" xfId="0" applyNumberFormat="1" applyFont="1" applyBorder="1" applyAlignment="1">
      <alignment horizontal="right"/>
    </xf>
    <xf numFmtId="164" fontId="3788" fillId="0" borderId="4103" xfId="0" applyNumberFormat="1" applyFont="1" applyBorder="1" applyAlignment="1">
      <alignment horizontal="right"/>
    </xf>
    <xf numFmtId="164" fontId="3865" fillId="0" borderId="4187" xfId="0" applyNumberFormat="1" applyFont="1" applyBorder="1" applyAlignment="1">
      <alignment horizontal="right"/>
    </xf>
    <xf numFmtId="164" fontId="3948" fillId="0" borderId="4277" xfId="0" applyNumberFormat="1" applyFont="1" applyBorder="1" applyAlignment="1">
      <alignment horizontal="right"/>
    </xf>
    <xf numFmtId="164" fontId="3704" fillId="0" borderId="4012" xfId="0" applyNumberFormat="1" applyFont="1" applyBorder="1" applyAlignment="1">
      <alignment horizontal="right"/>
    </xf>
    <xf numFmtId="164" fontId="3789" fillId="0" borderId="4104" xfId="0" applyNumberFormat="1" applyFont="1" applyBorder="1" applyAlignment="1">
      <alignment horizontal="right"/>
    </xf>
    <xf numFmtId="164" fontId="3866" fillId="0" borderId="4188" xfId="0" applyNumberFormat="1" applyFont="1" applyBorder="1" applyAlignment="1">
      <alignment horizontal="right"/>
    </xf>
    <xf numFmtId="164" fontId="3949" fillId="0" borderId="4278" xfId="0" applyNumberFormat="1" applyFont="1" applyBorder="1" applyAlignment="1">
      <alignment horizontal="right"/>
    </xf>
    <xf numFmtId="164" fontId="3705" fillId="0" borderId="4013" xfId="0" applyNumberFormat="1" applyFont="1" applyBorder="1" applyAlignment="1">
      <alignment horizontal="right"/>
    </xf>
    <xf numFmtId="164" fontId="3790" fillId="0" borderId="4105" xfId="0" applyNumberFormat="1" applyFont="1" applyBorder="1" applyAlignment="1">
      <alignment horizontal="right"/>
    </xf>
    <xf numFmtId="164" fontId="3867" fillId="0" borderId="4189" xfId="0" applyNumberFormat="1" applyFont="1" applyBorder="1" applyAlignment="1">
      <alignment horizontal="right"/>
    </xf>
    <xf numFmtId="164" fontId="3950" fillId="0" borderId="4279" xfId="0" applyNumberFormat="1" applyFont="1" applyBorder="1" applyAlignment="1">
      <alignment horizontal="right"/>
    </xf>
    <xf numFmtId="164" fontId="1" fillId="0" borderId="4014" xfId="0" applyNumberFormat="1" applyFont="1" applyBorder="1" applyAlignment="1">
      <alignment horizontal="right"/>
    </xf>
    <xf numFmtId="164" fontId="1" fillId="0" borderId="4106" xfId="0" applyNumberFormat="1" applyFont="1" applyBorder="1" applyAlignment="1">
      <alignment horizontal="right"/>
    </xf>
    <xf numFmtId="164" fontId="1" fillId="0" borderId="4190" xfId="0" applyNumberFormat="1" applyFont="1" applyBorder="1" applyAlignment="1">
      <alignment horizontal="right"/>
    </xf>
    <xf numFmtId="164" fontId="1" fillId="0" borderId="4280" xfId="0" applyNumberFormat="1" applyFont="1" applyBorder="1" applyAlignment="1">
      <alignment horizontal="right"/>
    </xf>
    <xf numFmtId="164" fontId="1" fillId="0" borderId="4015" xfId="0" applyNumberFormat="1" applyFont="1" applyBorder="1" applyAlignment="1">
      <alignment horizontal="right"/>
    </xf>
    <xf numFmtId="164" fontId="1" fillId="0" borderId="4107" xfId="0" applyNumberFormat="1" applyFont="1" applyBorder="1" applyAlignment="1">
      <alignment horizontal="right"/>
    </xf>
    <xf numFmtId="164" fontId="1" fillId="0" borderId="4191" xfId="0" applyNumberFormat="1" applyFont="1" applyBorder="1" applyAlignment="1">
      <alignment horizontal="right"/>
    </xf>
    <xf numFmtId="164" fontId="1" fillId="0" borderId="4281" xfId="0" applyNumberFormat="1" applyFont="1" applyBorder="1" applyAlignment="1">
      <alignment horizontal="right"/>
    </xf>
    <xf numFmtId="164" fontId="1" fillId="0" borderId="4016" xfId="0" applyNumberFormat="1" applyFont="1" applyBorder="1" applyAlignment="1">
      <alignment horizontal="right"/>
    </xf>
    <xf numFmtId="164" fontId="1" fillId="0" borderId="4108" xfId="0" applyNumberFormat="1" applyFont="1" applyBorder="1" applyAlignment="1">
      <alignment horizontal="right"/>
    </xf>
    <xf numFmtId="164" fontId="1" fillId="0" borderId="4192" xfId="0" applyNumberFormat="1" applyFont="1" applyBorder="1" applyAlignment="1">
      <alignment horizontal="right"/>
    </xf>
    <xf numFmtId="164" fontId="1" fillId="0" borderId="4282" xfId="0" applyNumberFormat="1" applyFont="1" applyBorder="1" applyAlignment="1">
      <alignment horizontal="right"/>
    </xf>
    <xf numFmtId="164" fontId="1" fillId="0" borderId="4017" xfId="0" applyNumberFormat="1" applyFont="1" applyBorder="1" applyAlignment="1">
      <alignment horizontal="right"/>
    </xf>
    <xf numFmtId="164" fontId="1" fillId="0" borderId="4109" xfId="0" applyNumberFormat="1" applyFont="1" applyBorder="1" applyAlignment="1">
      <alignment horizontal="right"/>
    </xf>
    <xf numFmtId="164" fontId="1" fillId="0" borderId="4193" xfId="0" applyNumberFormat="1" applyFont="1" applyBorder="1" applyAlignment="1">
      <alignment horizontal="right"/>
    </xf>
    <xf numFmtId="164" fontId="1" fillId="0" borderId="4283" xfId="0" applyNumberFormat="1" applyFont="1" applyBorder="1" applyAlignment="1">
      <alignment horizontal="right"/>
    </xf>
    <xf numFmtId="164" fontId="1" fillId="0" borderId="4018" xfId="0" applyNumberFormat="1" applyFont="1" applyBorder="1" applyAlignment="1">
      <alignment horizontal="right"/>
    </xf>
    <xf numFmtId="164" fontId="1" fillId="0" borderId="4110" xfId="0" applyNumberFormat="1" applyFont="1" applyBorder="1" applyAlignment="1">
      <alignment horizontal="right"/>
    </xf>
    <xf numFmtId="164" fontId="1" fillId="0" borderId="4194" xfId="0" applyNumberFormat="1" applyFont="1" applyBorder="1" applyAlignment="1">
      <alignment horizontal="right"/>
    </xf>
    <xf numFmtId="164" fontId="1" fillId="0" borderId="4284" xfId="0" applyNumberFormat="1" applyFont="1" applyBorder="1" applyAlignment="1">
      <alignment horizontal="right"/>
    </xf>
    <xf numFmtId="164" fontId="1" fillId="0" borderId="4019" xfId="0" applyNumberFormat="1" applyFont="1" applyBorder="1" applyAlignment="1">
      <alignment horizontal="right"/>
    </xf>
    <xf numFmtId="164" fontId="1" fillId="0" borderId="4111" xfId="0" applyNumberFormat="1" applyFont="1" applyBorder="1" applyAlignment="1">
      <alignment horizontal="right"/>
    </xf>
    <xf numFmtId="164" fontId="1" fillId="0" borderId="4195" xfId="0" applyNumberFormat="1" applyFont="1" applyBorder="1" applyAlignment="1">
      <alignment horizontal="right"/>
    </xf>
    <xf numFmtId="164" fontId="1" fillId="0" borderId="4285" xfId="0" applyNumberFormat="1" applyFont="1" applyBorder="1" applyAlignment="1">
      <alignment horizontal="right"/>
    </xf>
    <xf numFmtId="164" fontId="1" fillId="0" borderId="4020" xfId="0" applyNumberFormat="1" applyFont="1" applyBorder="1" applyAlignment="1">
      <alignment horizontal="right"/>
    </xf>
    <xf numFmtId="164" fontId="1" fillId="0" borderId="4112" xfId="0" applyNumberFormat="1" applyFont="1" applyBorder="1" applyAlignment="1">
      <alignment horizontal="right"/>
    </xf>
    <xf numFmtId="164" fontId="1" fillId="0" borderId="4196" xfId="0" applyNumberFormat="1" applyFont="1" applyBorder="1" applyAlignment="1">
      <alignment horizontal="right"/>
    </xf>
    <xf numFmtId="164" fontId="1" fillId="0" borderId="4286" xfId="0" applyNumberFormat="1" applyFont="1" applyBorder="1" applyAlignment="1">
      <alignment horizontal="right"/>
    </xf>
    <xf numFmtId="164" fontId="3706" fillId="0" borderId="4021" xfId="0" applyNumberFormat="1" applyFont="1" applyBorder="1" applyAlignment="1">
      <alignment horizontal="right"/>
    </xf>
    <xf numFmtId="164" fontId="3791" fillId="0" borderId="4113" xfId="0" applyNumberFormat="1" applyFont="1" applyBorder="1" applyAlignment="1">
      <alignment horizontal="right"/>
    </xf>
    <xf numFmtId="164" fontId="3868" fillId="0" borderId="4197" xfId="0" applyNumberFormat="1" applyFont="1" applyBorder="1" applyAlignment="1">
      <alignment horizontal="right"/>
    </xf>
    <xf numFmtId="164" fontId="3951" fillId="0" borderId="4287" xfId="0" applyNumberFormat="1" applyFont="1" applyBorder="1" applyAlignment="1">
      <alignment horizontal="right"/>
    </xf>
    <xf numFmtId="164" fontId="3634" fillId="0" borderId="3942" xfId="0" applyNumberFormat="1" applyFont="1" applyBorder="1" applyAlignment="1">
      <alignment horizontal="right"/>
    </xf>
    <xf numFmtId="164" fontId="3719" fillId="0" borderId="4034" xfId="0" applyNumberFormat="1" applyFont="1" applyBorder="1" applyAlignment="1">
      <alignment horizontal="right"/>
    </xf>
    <xf numFmtId="164" fontId="3804" fillId="0" borderId="4126" xfId="0" applyNumberFormat="1" applyFont="1" applyBorder="1" applyAlignment="1">
      <alignment horizontal="right"/>
    </xf>
    <xf numFmtId="164" fontId="3879" fillId="0" borderId="4208" xfId="0" applyNumberFormat="1" applyFont="1" applyBorder="1" applyAlignment="1">
      <alignment horizontal="right"/>
    </xf>
    <xf numFmtId="164" fontId="3712" fillId="0" borderId="4027" xfId="0" applyNumberFormat="1" applyFont="1" applyBorder="1" applyAlignment="1">
      <alignment horizontal="right"/>
    </xf>
    <xf numFmtId="164" fontId="3797" fillId="0" borderId="4119" xfId="0" applyNumberFormat="1" applyFont="1" applyBorder="1" applyAlignment="1">
      <alignment horizontal="right"/>
    </xf>
    <xf numFmtId="164" fontId="3872" fillId="0" borderId="4201" xfId="0" applyNumberFormat="1" applyFont="1" applyBorder="1" applyAlignment="1">
      <alignment horizontal="right"/>
    </xf>
    <xf numFmtId="164" fontId="3957" fillId="0" borderId="4293" xfId="0" applyNumberFormat="1" applyFont="1" applyBorder="1" applyAlignment="1">
      <alignment horizontal="right"/>
    </xf>
    <xf numFmtId="164" fontId="3713" fillId="0" borderId="4028" xfId="0" applyNumberFormat="1" applyFont="1" applyBorder="1" applyAlignment="1">
      <alignment horizontal="right"/>
    </xf>
    <xf numFmtId="164" fontId="3798" fillId="0" borderId="4120" xfId="0" applyNumberFormat="1" applyFont="1" applyBorder="1" applyAlignment="1">
      <alignment horizontal="right"/>
    </xf>
    <xf numFmtId="164" fontId="3873" fillId="0" borderId="4202" xfId="0" applyNumberFormat="1" applyFont="1" applyBorder="1" applyAlignment="1">
      <alignment horizontal="right"/>
    </xf>
    <xf numFmtId="164" fontId="3958" fillId="0" borderId="4294" xfId="0" applyNumberFormat="1" applyFont="1" applyBorder="1" applyAlignment="1">
      <alignment horizontal="right"/>
    </xf>
    <xf numFmtId="164" fontId="3714" fillId="0" borderId="4029" xfId="0" applyNumberFormat="1" applyFont="1" applyBorder="1" applyAlignment="1">
      <alignment horizontal="right"/>
    </xf>
    <xf numFmtId="164" fontId="3799" fillId="0" borderId="4121" xfId="0" applyNumberFormat="1" applyFont="1" applyBorder="1" applyAlignment="1">
      <alignment horizontal="right"/>
    </xf>
    <xf numFmtId="164" fontId="3874" fillId="0" borderId="4203" xfId="0" applyNumberFormat="1" applyFont="1" applyBorder="1" applyAlignment="1">
      <alignment horizontal="right"/>
    </xf>
    <xf numFmtId="164" fontId="3959" fillId="0" borderId="4295" xfId="0" applyNumberFormat="1" applyFont="1" applyBorder="1" applyAlignment="1">
      <alignment horizontal="right"/>
    </xf>
    <xf numFmtId="164" fontId="3715" fillId="0" borderId="4030" xfId="0" applyNumberFormat="1" applyFont="1" applyBorder="1" applyAlignment="1">
      <alignment horizontal="right"/>
    </xf>
    <xf numFmtId="164" fontId="3800" fillId="0" borderId="4122" xfId="0" applyNumberFormat="1" applyFont="1" applyBorder="1" applyAlignment="1">
      <alignment horizontal="right"/>
    </xf>
    <xf numFmtId="164" fontId="3875" fillId="0" borderId="4204" xfId="0" applyNumberFormat="1" applyFont="1" applyBorder="1" applyAlignment="1">
      <alignment horizontal="right"/>
    </xf>
    <xf numFmtId="164" fontId="3960" fillId="0" borderId="4296" xfId="0" applyNumberFormat="1" applyFont="1" applyBorder="1" applyAlignment="1">
      <alignment horizontal="right"/>
    </xf>
    <xf numFmtId="164" fontId="3635" fillId="0" borderId="3943" xfId="0" applyNumberFormat="1" applyFont="1" applyBorder="1" applyAlignment="1">
      <alignment horizontal="right"/>
    </xf>
    <xf numFmtId="164" fontId="3720" fillId="0" borderId="4035" xfId="0" applyNumberFormat="1" applyFont="1" applyBorder="1" applyAlignment="1">
      <alignment horizontal="right"/>
    </xf>
    <xf numFmtId="164" fontId="3805" fillId="0" borderId="4127" xfId="0" applyNumberFormat="1" applyFont="1" applyBorder="1" applyAlignment="1">
      <alignment horizontal="right"/>
    </xf>
    <xf numFmtId="164" fontId="3880" fillId="0" borderId="4209" xfId="0" applyNumberFormat="1" applyFont="1" applyBorder="1" applyAlignment="1">
      <alignment horizontal="right"/>
    </xf>
    <xf numFmtId="164" fontId="5640" fillId="0" borderId="5976" xfId="0" applyNumberFormat="1" applyFont="1" applyBorder="1" applyAlignment="1">
      <alignment horizontal="right"/>
    </xf>
    <xf numFmtId="164" fontId="5679" fillId="0" borderId="6015" xfId="0" applyNumberFormat="1" applyFont="1" applyBorder="1" applyAlignment="1">
      <alignment horizontal="right"/>
    </xf>
    <xf numFmtId="164" fontId="5716" fillId="0" borderId="6052" xfId="0" applyNumberFormat="1" applyFont="1" applyBorder="1" applyAlignment="1">
      <alignment horizontal="right"/>
    </xf>
    <xf numFmtId="164" fontId="5753" fillId="0" borderId="6089" xfId="0" applyNumberFormat="1" applyFont="1" applyBorder="1" applyAlignment="1">
      <alignment horizontal="right"/>
    </xf>
    <xf numFmtId="164" fontId="5641" fillId="0" borderId="5977" xfId="0" applyNumberFormat="1" applyFont="1" applyBorder="1" applyAlignment="1">
      <alignment horizontal="right"/>
    </xf>
    <xf numFmtId="164" fontId="5680" fillId="0" borderId="6016" xfId="0" applyNumberFormat="1" applyFont="1" applyBorder="1" applyAlignment="1">
      <alignment horizontal="right"/>
    </xf>
    <xf numFmtId="164" fontId="5717" fillId="0" borderId="6053" xfId="0" applyNumberFormat="1" applyFont="1" applyBorder="1" applyAlignment="1">
      <alignment horizontal="right"/>
    </xf>
    <xf numFmtId="164" fontId="5754" fillId="0" borderId="6090" xfId="0" applyNumberFormat="1" applyFont="1" applyBorder="1" applyAlignment="1">
      <alignment horizontal="right"/>
    </xf>
    <xf numFmtId="164" fontId="5642" fillId="0" borderId="5978" xfId="0" applyNumberFormat="1" applyFont="1" applyBorder="1" applyAlignment="1">
      <alignment horizontal="right"/>
    </xf>
    <xf numFmtId="164" fontId="5681" fillId="0" borderId="6017" xfId="0" applyNumberFormat="1" applyFont="1" applyBorder="1" applyAlignment="1">
      <alignment horizontal="right"/>
    </xf>
    <xf numFmtId="164" fontId="5718" fillId="0" borderId="6054" xfId="0" applyNumberFormat="1" applyFont="1" applyBorder="1" applyAlignment="1">
      <alignment horizontal="right"/>
    </xf>
    <xf numFmtId="164" fontId="5755" fillId="0" borderId="6091" xfId="0" applyNumberFormat="1" applyFont="1" applyBorder="1" applyAlignment="1">
      <alignment horizontal="right"/>
    </xf>
    <xf numFmtId="164" fontId="5643" fillId="0" borderId="5979" xfId="0" applyNumberFormat="1" applyFont="1" applyBorder="1" applyAlignment="1">
      <alignment horizontal="right"/>
    </xf>
    <xf numFmtId="164" fontId="5682" fillId="0" borderId="6018" xfId="0" applyNumberFormat="1" applyFont="1" applyBorder="1" applyAlignment="1">
      <alignment horizontal="right"/>
    </xf>
    <xf numFmtId="164" fontId="5719" fillId="0" borderId="6055" xfId="0" applyNumberFormat="1" applyFont="1" applyBorder="1" applyAlignment="1">
      <alignment horizontal="right"/>
    </xf>
    <xf numFmtId="164" fontId="5756" fillId="0" borderId="6092" xfId="0" applyNumberFormat="1" applyFont="1" applyBorder="1" applyAlignment="1">
      <alignment horizontal="right"/>
    </xf>
    <xf numFmtId="164" fontId="5644" fillId="0" borderId="5980" xfId="0" applyNumberFormat="1" applyFont="1" applyBorder="1" applyAlignment="1">
      <alignment horizontal="right"/>
    </xf>
    <xf numFmtId="164" fontId="5683" fillId="0" borderId="6019" xfId="0" applyNumberFormat="1" applyFont="1" applyBorder="1" applyAlignment="1">
      <alignment horizontal="right"/>
    </xf>
    <xf numFmtId="164" fontId="5720" fillId="0" borderId="6056" xfId="0" applyNumberFormat="1" applyFont="1" applyBorder="1" applyAlignment="1">
      <alignment horizontal="right"/>
    </xf>
    <xf numFmtId="164" fontId="5757" fillId="0" borderId="6093" xfId="0" applyNumberFormat="1" applyFont="1" applyBorder="1" applyAlignment="1">
      <alignment horizontal="right"/>
    </xf>
    <xf numFmtId="164" fontId="5645" fillId="0" borderId="5981" xfId="0" applyNumberFormat="1" applyFont="1" applyBorder="1" applyAlignment="1">
      <alignment horizontal="right"/>
    </xf>
    <xf numFmtId="164" fontId="5684" fillId="0" borderId="6020" xfId="0" applyNumberFormat="1" applyFont="1" applyBorder="1" applyAlignment="1">
      <alignment horizontal="right"/>
    </xf>
    <xf numFmtId="164" fontId="5721" fillId="0" borderId="6057" xfId="0" applyNumberFormat="1" applyFont="1" applyBorder="1" applyAlignment="1">
      <alignment horizontal="right"/>
    </xf>
    <xf numFmtId="164" fontId="5758" fillId="0" borderId="6094" xfId="0" applyNumberFormat="1" applyFont="1" applyBorder="1" applyAlignment="1">
      <alignment horizontal="right"/>
    </xf>
    <xf numFmtId="164" fontId="5646" fillId="0" borderId="5982" xfId="0" applyNumberFormat="1" applyFont="1" applyBorder="1" applyAlignment="1">
      <alignment horizontal="right"/>
    </xf>
    <xf numFmtId="164" fontId="5685" fillId="0" borderId="6021" xfId="0" applyNumberFormat="1" applyFont="1" applyBorder="1" applyAlignment="1">
      <alignment horizontal="right"/>
    </xf>
    <xf numFmtId="164" fontId="5722" fillId="0" borderId="6058" xfId="0" applyNumberFormat="1" applyFont="1" applyBorder="1" applyAlignment="1">
      <alignment horizontal="right"/>
    </xf>
    <xf numFmtId="164" fontId="5759" fillId="0" borderId="6095" xfId="0" applyNumberFormat="1" applyFont="1" applyBorder="1" applyAlignment="1">
      <alignment horizontal="right"/>
    </xf>
    <xf numFmtId="164" fontId="5647" fillId="0" borderId="5983" xfId="0" applyNumberFormat="1" applyFont="1" applyBorder="1" applyAlignment="1">
      <alignment horizontal="right"/>
    </xf>
    <xf numFmtId="164" fontId="5686" fillId="0" borderId="6022" xfId="0" applyNumberFormat="1" applyFont="1" applyBorder="1" applyAlignment="1">
      <alignment horizontal="right"/>
    </xf>
    <xf numFmtId="164" fontId="5723" fillId="0" borderId="6059" xfId="0" applyNumberFormat="1" applyFont="1" applyBorder="1" applyAlignment="1">
      <alignment horizontal="right"/>
    </xf>
    <xf numFmtId="164" fontId="5760" fillId="0" borderId="6096" xfId="0" applyNumberFormat="1" applyFont="1" applyBorder="1" applyAlignment="1">
      <alignment horizontal="right"/>
    </xf>
    <xf numFmtId="164" fontId="5648" fillId="0" borderId="5984" xfId="0" applyNumberFormat="1" applyFont="1" applyBorder="1" applyAlignment="1">
      <alignment horizontal="right"/>
    </xf>
    <xf numFmtId="164" fontId="5687" fillId="0" borderId="6023" xfId="0" applyNumberFormat="1" applyFont="1" applyBorder="1" applyAlignment="1">
      <alignment horizontal="right"/>
    </xf>
    <xf numFmtId="164" fontId="5724" fillId="0" borderId="6060" xfId="0" applyNumberFormat="1" applyFont="1" applyBorder="1" applyAlignment="1">
      <alignment horizontal="right"/>
    </xf>
    <xf numFmtId="164" fontId="5761" fillId="0" borderId="6097" xfId="0" applyNumberFormat="1" applyFont="1" applyBorder="1" applyAlignment="1">
      <alignment horizontal="right"/>
    </xf>
    <xf numFmtId="164" fontId="5649" fillId="0" borderId="5985" xfId="0" applyNumberFormat="1" applyFont="1" applyBorder="1" applyAlignment="1">
      <alignment horizontal="right"/>
    </xf>
    <xf numFmtId="164" fontId="5688" fillId="0" borderId="6024" xfId="0" applyNumberFormat="1" applyFont="1" applyBorder="1" applyAlignment="1">
      <alignment horizontal="right"/>
    </xf>
    <xf numFmtId="164" fontId="5725" fillId="0" borderId="6061" xfId="0" applyNumberFormat="1" applyFont="1" applyBorder="1" applyAlignment="1">
      <alignment horizontal="right"/>
    </xf>
    <xf numFmtId="164" fontId="5762" fillId="0" borderId="6098" xfId="0" applyNumberFormat="1" applyFont="1" applyBorder="1" applyAlignment="1">
      <alignment horizontal="right"/>
    </xf>
    <xf numFmtId="164" fontId="5650" fillId="0" borderId="5986" xfId="0" applyNumberFormat="1" applyFont="1" applyBorder="1" applyAlignment="1">
      <alignment horizontal="right"/>
    </xf>
    <xf numFmtId="164" fontId="5689" fillId="0" borderId="6025" xfId="0" applyNumberFormat="1" applyFont="1" applyBorder="1" applyAlignment="1">
      <alignment horizontal="right"/>
    </xf>
    <xf numFmtId="164" fontId="5726" fillId="0" borderId="6062" xfId="0" applyNumberFormat="1" applyFont="1" applyBorder="1" applyAlignment="1">
      <alignment horizontal="right"/>
    </xf>
    <xf numFmtId="164" fontId="5763" fillId="0" borderId="6099" xfId="0" applyNumberFormat="1" applyFont="1" applyBorder="1" applyAlignment="1">
      <alignment horizontal="right"/>
    </xf>
    <xf numFmtId="164" fontId="5651" fillId="0" borderId="5987" xfId="0" applyNumberFormat="1" applyFont="1" applyBorder="1" applyAlignment="1">
      <alignment horizontal="right"/>
    </xf>
    <xf numFmtId="164" fontId="5690" fillId="0" borderId="6026" xfId="0" applyNumberFormat="1" applyFont="1" applyBorder="1" applyAlignment="1">
      <alignment horizontal="right"/>
    </xf>
    <xf numFmtId="164" fontId="5727" fillId="0" borderId="6063" xfId="0" applyNumberFormat="1" applyFont="1" applyBorder="1" applyAlignment="1">
      <alignment horizontal="right"/>
    </xf>
    <xf numFmtId="164" fontId="5764" fillId="0" borderId="6100" xfId="0" applyNumberFormat="1" applyFont="1" applyBorder="1" applyAlignment="1">
      <alignment horizontal="right"/>
    </xf>
    <xf numFmtId="164" fontId="5652" fillId="0" borderId="5988" xfId="0" applyNumberFormat="1" applyFont="1" applyBorder="1" applyAlignment="1">
      <alignment horizontal="right"/>
    </xf>
    <xf numFmtId="164" fontId="5691" fillId="0" borderId="6027" xfId="0" applyNumberFormat="1" applyFont="1" applyBorder="1" applyAlignment="1">
      <alignment horizontal="right"/>
    </xf>
    <xf numFmtId="164" fontId="5728" fillId="0" borderId="6064" xfId="0" applyNumberFormat="1" applyFont="1" applyBorder="1" applyAlignment="1">
      <alignment horizontal="right"/>
    </xf>
    <xf numFmtId="164" fontId="5765" fillId="0" borderId="6101" xfId="0" applyNumberFormat="1" applyFont="1" applyBorder="1" applyAlignment="1">
      <alignment horizontal="right"/>
    </xf>
    <xf numFmtId="164" fontId="5633" fillId="0" borderId="5969" xfId="0" applyNumberFormat="1" applyFont="1" applyBorder="1" applyAlignment="1">
      <alignment horizontal="right"/>
    </xf>
    <xf numFmtId="164" fontId="5672" fillId="0" borderId="6008" xfId="0" applyNumberFormat="1" applyFont="1" applyBorder="1" applyAlignment="1">
      <alignment horizontal="right"/>
    </xf>
    <xf numFmtId="164" fontId="5711" fillId="0" borderId="6047" xfId="0" applyNumberFormat="1" applyFont="1" applyBorder="1" applyAlignment="1">
      <alignment horizontal="right"/>
    </xf>
    <xf numFmtId="164" fontId="5746" fillId="0" borderId="6082" xfId="0" applyNumberFormat="1" applyFont="1" applyBorder="1" applyAlignment="1">
      <alignment horizontal="right"/>
    </xf>
    <xf numFmtId="164" fontId="5658" fillId="0" borderId="5994" xfId="0" applyNumberFormat="1" applyFont="1" applyBorder="1" applyAlignment="1">
      <alignment horizontal="right"/>
    </xf>
    <xf numFmtId="164" fontId="5697" fillId="0" borderId="6033" xfId="0" applyNumberFormat="1" applyFont="1" applyBorder="1" applyAlignment="1">
      <alignment horizontal="right"/>
    </xf>
    <xf numFmtId="164" fontId="5732" fillId="0" borderId="6068" xfId="0" applyNumberFormat="1" applyFont="1" applyBorder="1" applyAlignment="1">
      <alignment horizontal="right"/>
    </xf>
    <xf numFmtId="164" fontId="5771" fillId="0" borderId="6107" xfId="0" applyNumberFormat="1" applyFont="1" applyBorder="1" applyAlignment="1">
      <alignment horizontal="right"/>
    </xf>
    <xf numFmtId="164" fontId="5659" fillId="0" borderId="5995" xfId="0" applyNumberFormat="1" applyFont="1" applyBorder="1" applyAlignment="1">
      <alignment horizontal="right"/>
    </xf>
    <xf numFmtId="164" fontId="5698" fillId="0" borderId="6034" xfId="0" applyNumberFormat="1" applyFont="1" applyBorder="1" applyAlignment="1">
      <alignment horizontal="right"/>
    </xf>
    <xf numFmtId="164" fontId="5733" fillId="0" borderId="6069" xfId="0" applyNumberFormat="1" applyFont="1" applyBorder="1" applyAlignment="1">
      <alignment horizontal="right"/>
    </xf>
    <xf numFmtId="164" fontId="5772" fillId="0" borderId="6108" xfId="0" applyNumberFormat="1" applyFont="1" applyBorder="1" applyAlignment="1">
      <alignment horizontal="right"/>
    </xf>
    <xf numFmtId="164" fontId="5660" fillId="0" borderId="5996" xfId="0" applyNumberFormat="1" applyFont="1" applyBorder="1" applyAlignment="1">
      <alignment horizontal="right"/>
    </xf>
    <xf numFmtId="164" fontId="5699" fillId="0" borderId="6035" xfId="0" applyNumberFormat="1" applyFont="1" applyBorder="1" applyAlignment="1">
      <alignment horizontal="right"/>
    </xf>
    <xf numFmtId="164" fontId="5734" fillId="0" borderId="6070" xfId="0" applyNumberFormat="1" applyFont="1" applyBorder="1" applyAlignment="1">
      <alignment horizontal="right"/>
    </xf>
    <xf numFmtId="164" fontId="5773" fillId="0" borderId="6109" xfId="0" applyNumberFormat="1" applyFont="1" applyBorder="1" applyAlignment="1">
      <alignment horizontal="right"/>
    </xf>
    <xf numFmtId="164" fontId="5661" fillId="0" borderId="5997" xfId="0" applyNumberFormat="1" applyFont="1" applyBorder="1" applyAlignment="1">
      <alignment horizontal="right"/>
    </xf>
    <xf numFmtId="164" fontId="5700" fillId="0" borderId="6036" xfId="0" applyNumberFormat="1" applyFont="1" applyBorder="1" applyAlignment="1">
      <alignment horizontal="right"/>
    </xf>
    <xf numFmtId="164" fontId="5735" fillId="0" borderId="6071" xfId="0" applyNumberFormat="1" applyFont="1" applyBorder="1" applyAlignment="1">
      <alignment horizontal="right"/>
    </xf>
    <xf numFmtId="164" fontId="5774" fillId="0" borderId="6110" xfId="0" applyNumberFormat="1" applyFont="1" applyBorder="1" applyAlignment="1">
      <alignment horizontal="right"/>
    </xf>
    <xf numFmtId="164" fontId="5662" fillId="0" borderId="5998" xfId="0" applyNumberFormat="1" applyFont="1" applyBorder="1" applyAlignment="1">
      <alignment horizontal="right"/>
    </xf>
    <xf numFmtId="164" fontId="5701" fillId="0" borderId="6037" xfId="0" applyNumberFormat="1" applyFont="1" applyBorder="1" applyAlignment="1">
      <alignment horizontal="right"/>
    </xf>
    <xf numFmtId="164" fontId="5736" fillId="0" borderId="6072" xfId="0" applyNumberFormat="1" applyFont="1" applyBorder="1" applyAlignment="1">
      <alignment horizontal="right"/>
    </xf>
    <xf numFmtId="164" fontId="5775" fillId="0" borderId="6111" xfId="0" applyNumberFormat="1" applyFont="1" applyBorder="1" applyAlignment="1">
      <alignment horizontal="right"/>
    </xf>
    <xf numFmtId="164" fontId="5663" fillId="0" borderId="5999" xfId="0" applyNumberFormat="1" applyFont="1" applyBorder="1" applyAlignment="1">
      <alignment horizontal="right"/>
    </xf>
    <xf numFmtId="164" fontId="5702" fillId="0" borderId="6038" xfId="0" applyNumberFormat="1" applyFont="1" applyBorder="1" applyAlignment="1">
      <alignment horizontal="right"/>
    </xf>
    <xf numFmtId="164" fontId="5737" fillId="0" borderId="6073" xfId="0" applyNumberFormat="1" applyFont="1" applyBorder="1" applyAlignment="1">
      <alignment horizontal="right"/>
    </xf>
    <xf numFmtId="164" fontId="5776" fillId="0" borderId="6112" xfId="0" applyNumberFormat="1" applyFont="1" applyBorder="1" applyAlignment="1">
      <alignment horizontal="right"/>
    </xf>
    <xf numFmtId="164" fontId="5664" fillId="0" borderId="6000" xfId="0" applyNumberFormat="1" applyFont="1" applyBorder="1" applyAlignment="1">
      <alignment horizontal="right"/>
    </xf>
    <xf numFmtId="164" fontId="5703" fillId="0" borderId="6039" xfId="0" applyNumberFormat="1" applyFont="1" applyBorder="1" applyAlignment="1">
      <alignment horizontal="right"/>
    </xf>
    <xf numFmtId="164" fontId="5738" fillId="0" borderId="6074" xfId="0" applyNumberFormat="1" applyFont="1" applyBorder="1" applyAlignment="1">
      <alignment horizontal="right"/>
    </xf>
    <xf numFmtId="164" fontId="5777" fillId="0" borderId="6113" xfId="0" applyNumberFormat="1" applyFont="1" applyBorder="1" applyAlignment="1">
      <alignment horizontal="right"/>
    </xf>
    <xf numFmtId="164" fontId="5665" fillId="0" borderId="6001" xfId="0" applyNumberFormat="1" applyFont="1" applyBorder="1" applyAlignment="1">
      <alignment horizontal="right"/>
    </xf>
    <xf numFmtId="164" fontId="5704" fillId="0" borderId="6040" xfId="0" applyNumberFormat="1" applyFont="1" applyBorder="1" applyAlignment="1">
      <alignment horizontal="right"/>
    </xf>
    <xf numFmtId="164" fontId="5739" fillId="0" borderId="6075" xfId="0" applyNumberFormat="1" applyFont="1" applyBorder="1" applyAlignment="1">
      <alignment horizontal="right"/>
    </xf>
    <xf numFmtId="164" fontId="5778" fillId="0" borderId="6114" xfId="0" applyNumberFormat="1" applyFont="1" applyBorder="1" applyAlignment="1">
      <alignment horizontal="right"/>
    </xf>
    <xf numFmtId="164" fontId="5666" fillId="0" borderId="6002" xfId="0" applyNumberFormat="1" applyFont="1" applyBorder="1" applyAlignment="1">
      <alignment horizontal="right"/>
    </xf>
    <xf numFmtId="164" fontId="5705" fillId="0" borderId="6041" xfId="0" applyNumberFormat="1" applyFont="1" applyBorder="1" applyAlignment="1">
      <alignment horizontal="right"/>
    </xf>
    <xf numFmtId="164" fontId="5740" fillId="0" borderId="6076" xfId="0" applyNumberFormat="1" applyFont="1" applyBorder="1" applyAlignment="1">
      <alignment horizontal="right"/>
    </xf>
    <xf numFmtId="164" fontId="5779" fillId="0" borderId="6115" xfId="0" applyNumberFormat="1" applyFont="1" applyBorder="1" applyAlignment="1">
      <alignment horizontal="right"/>
    </xf>
    <xf numFmtId="164" fontId="5667" fillId="0" borderId="6003" xfId="0" applyNumberFormat="1" applyFont="1" applyBorder="1" applyAlignment="1">
      <alignment horizontal="right"/>
    </xf>
    <xf numFmtId="164" fontId="5706" fillId="0" borderId="6042" xfId="0" applyNumberFormat="1" applyFont="1" applyBorder="1" applyAlignment="1">
      <alignment horizontal="right"/>
    </xf>
    <xf numFmtId="164" fontId="5741" fillId="0" borderId="6077" xfId="0" applyNumberFormat="1" applyFont="1" applyBorder="1" applyAlignment="1">
      <alignment horizontal="right"/>
    </xf>
    <xf numFmtId="164" fontId="5780" fillId="0" borderId="6116" xfId="0" applyNumberFormat="1" applyFont="1" applyBorder="1" applyAlignment="1">
      <alignment horizontal="right"/>
    </xf>
    <xf numFmtId="164" fontId="5668" fillId="0" borderId="6004" xfId="0" applyNumberFormat="1" applyFont="1" applyBorder="1" applyAlignment="1">
      <alignment horizontal="right"/>
    </xf>
    <xf numFmtId="164" fontId="5707" fillId="0" borderId="6043" xfId="0" applyNumberFormat="1" applyFont="1" applyBorder="1" applyAlignment="1">
      <alignment horizontal="right"/>
    </xf>
    <xf numFmtId="164" fontId="5742" fillId="0" borderId="6078" xfId="0" applyNumberFormat="1" applyFont="1" applyBorder="1" applyAlignment="1">
      <alignment horizontal="right"/>
    </xf>
    <xf numFmtId="164" fontId="5781" fillId="0" borderId="6117" xfId="0" applyNumberFormat="1" applyFont="1" applyBorder="1" applyAlignment="1">
      <alignment horizontal="right"/>
    </xf>
    <xf numFmtId="164" fontId="5669" fillId="0" borderId="6005" xfId="0" applyNumberFormat="1" applyFont="1" applyBorder="1" applyAlignment="1">
      <alignment horizontal="right"/>
    </xf>
    <xf numFmtId="164" fontId="5708" fillId="0" borderId="6044" xfId="0" applyNumberFormat="1" applyFont="1" applyBorder="1" applyAlignment="1">
      <alignment horizontal="right"/>
    </xf>
    <xf numFmtId="164" fontId="5743" fillId="0" borderId="6079" xfId="0" applyNumberFormat="1" applyFont="1" applyBorder="1" applyAlignment="1">
      <alignment horizontal="right"/>
    </xf>
    <xf numFmtId="164" fontId="5782" fillId="0" borderId="6118" xfId="0" applyNumberFormat="1" applyFont="1" applyBorder="1" applyAlignment="1">
      <alignment horizontal="right"/>
    </xf>
    <xf numFmtId="164" fontId="5670" fillId="0" borderId="6006" xfId="0" applyNumberFormat="1" applyFont="1" applyBorder="1" applyAlignment="1">
      <alignment horizontal="right"/>
    </xf>
    <xf numFmtId="164" fontId="5709" fillId="0" borderId="6045" xfId="0" applyNumberFormat="1" applyFont="1" applyBorder="1" applyAlignment="1">
      <alignment horizontal="right"/>
    </xf>
    <xf numFmtId="164" fontId="5744" fillId="0" borderId="6080" xfId="0" applyNumberFormat="1" applyFont="1" applyBorder="1" applyAlignment="1">
      <alignment horizontal="right"/>
    </xf>
    <xf numFmtId="164" fontId="5783" fillId="0" borderId="6119" xfId="0" applyNumberFormat="1" applyFont="1" applyBorder="1" applyAlignment="1">
      <alignment horizontal="right"/>
    </xf>
    <xf numFmtId="164" fontId="5671" fillId="0" borderId="6007" xfId="0" applyNumberFormat="1" applyFont="1" applyBorder="1" applyAlignment="1">
      <alignment horizontal="right"/>
    </xf>
    <xf numFmtId="164" fontId="5710" fillId="0" borderId="6046" xfId="0" applyNumberFormat="1" applyFont="1" applyBorder="1" applyAlignment="1">
      <alignment horizontal="right"/>
    </xf>
    <xf numFmtId="164" fontId="5745" fillId="0" borderId="6081" xfId="0" applyNumberFormat="1" applyFont="1" applyBorder="1" applyAlignment="1">
      <alignment horizontal="right"/>
    </xf>
    <xf numFmtId="164" fontId="5784" fillId="0" borderId="6120" xfId="0" applyNumberFormat="1" applyFont="1" applyBorder="1" applyAlignment="1">
      <alignment horizontal="right"/>
    </xf>
    <xf numFmtId="164" fontId="5634" fillId="0" borderId="5970" xfId="0" applyNumberFormat="1" applyFont="1" applyBorder="1" applyAlignment="1">
      <alignment horizontal="right"/>
    </xf>
    <xf numFmtId="164" fontId="5673" fillId="0" borderId="6009" xfId="0" applyNumberFormat="1" applyFont="1" applyBorder="1" applyAlignment="1">
      <alignment horizontal="right"/>
    </xf>
    <xf numFmtId="164" fontId="5712" fillId="0" borderId="6048" xfId="0" applyNumberFormat="1" applyFont="1" applyBorder="1" applyAlignment="1">
      <alignment horizontal="right"/>
    </xf>
    <xf numFmtId="164" fontId="5747" fillId="0" borderId="6083" xfId="0" applyNumberFormat="1" applyFont="1" applyBorder="1" applyAlignment="1">
      <alignment horizontal="right"/>
    </xf>
    <xf numFmtId="164" fontId="3311" fillId="0" borderId="3591" xfId="0" applyNumberFormat="1" applyFont="1" applyBorder="1" applyAlignment="1">
      <alignment horizontal="right"/>
    </xf>
    <xf numFmtId="164" fontId="3396" fillId="0" borderId="3683" xfId="0" applyNumberFormat="1" applyFont="1" applyBorder="1" applyAlignment="1">
      <alignment horizontal="right"/>
    </xf>
    <xf numFmtId="164" fontId="3479" fillId="0" borderId="3773" xfId="0" applyNumberFormat="1" applyFont="1" applyBorder="1" applyAlignment="1">
      <alignment horizontal="right"/>
    </xf>
    <xf numFmtId="164" fontId="3556" fillId="0" borderId="3857" xfId="0" applyNumberFormat="1" applyFont="1" applyBorder="1" applyAlignment="1">
      <alignment horizontal="right"/>
    </xf>
    <xf numFmtId="164" fontId="3312" fillId="0" borderId="3592" xfId="0" applyNumberFormat="1" applyFont="1" applyBorder="1" applyAlignment="1">
      <alignment horizontal="right"/>
    </xf>
    <xf numFmtId="164" fontId="3397" fillId="0" borderId="3684" xfId="0" applyNumberFormat="1" applyFont="1" applyBorder="1" applyAlignment="1">
      <alignment horizontal="right"/>
    </xf>
    <xf numFmtId="164" fontId="3480" fillId="0" borderId="3774" xfId="0" applyNumberFormat="1" applyFont="1" applyBorder="1" applyAlignment="1">
      <alignment horizontal="right"/>
    </xf>
    <xf numFmtId="164" fontId="3557" fillId="0" borderId="3858" xfId="0" applyNumberFormat="1" applyFont="1" applyBorder="1" applyAlignment="1">
      <alignment horizontal="right"/>
    </xf>
    <xf numFmtId="164" fontId="3313" fillId="0" borderId="3593" xfId="0" applyNumberFormat="1" applyFont="1" applyBorder="1" applyAlignment="1">
      <alignment horizontal="right"/>
    </xf>
    <xf numFmtId="164" fontId="3398" fillId="0" borderId="3685" xfId="0" applyNumberFormat="1" applyFont="1" applyBorder="1" applyAlignment="1">
      <alignment horizontal="right"/>
    </xf>
    <xf numFmtId="164" fontId="3481" fillId="0" borderId="3775" xfId="0" applyNumberFormat="1" applyFont="1" applyBorder="1" applyAlignment="1">
      <alignment horizontal="right"/>
    </xf>
    <xf numFmtId="164" fontId="3558" fillId="0" borderId="3859" xfId="0" applyNumberFormat="1" applyFont="1" applyBorder="1" applyAlignment="1">
      <alignment horizontal="right"/>
    </xf>
    <xf numFmtId="164" fontId="3314" fillId="0" borderId="3594" xfId="0" applyNumberFormat="1" applyFont="1" applyBorder="1" applyAlignment="1">
      <alignment horizontal="right"/>
    </xf>
    <xf numFmtId="164" fontId="3399" fillId="0" borderId="3686" xfId="0" applyNumberFormat="1" applyFont="1" applyBorder="1" applyAlignment="1">
      <alignment horizontal="right"/>
    </xf>
    <xf numFmtId="164" fontId="3482" fillId="0" borderId="3776" xfId="0" applyNumberFormat="1" applyFont="1" applyBorder="1" applyAlignment="1">
      <alignment horizontal="right"/>
    </xf>
    <xf numFmtId="164" fontId="3559" fillId="0" borderId="3860" xfId="0" applyNumberFormat="1" applyFont="1" applyBorder="1" applyAlignment="1">
      <alignment horizontal="right"/>
    </xf>
    <xf numFmtId="164" fontId="3315" fillId="0" borderId="3595" xfId="0" applyNumberFormat="1" applyFont="1" applyBorder="1" applyAlignment="1">
      <alignment horizontal="right"/>
    </xf>
    <xf numFmtId="164" fontId="3400" fillId="0" borderId="3687" xfId="0" applyNumberFormat="1" applyFont="1" applyBorder="1" applyAlignment="1">
      <alignment horizontal="right"/>
    </xf>
    <xf numFmtId="164" fontId="3483" fillId="0" borderId="3777" xfId="0" applyNumberFormat="1" applyFont="1" applyBorder="1" applyAlignment="1">
      <alignment horizontal="right"/>
    </xf>
    <xf numFmtId="164" fontId="3560" fillId="0" borderId="3861" xfId="0" applyNumberFormat="1" applyFont="1" applyBorder="1" applyAlignment="1">
      <alignment horizontal="right"/>
    </xf>
    <xf numFmtId="164" fontId="3316" fillId="0" borderId="3596" xfId="0" applyNumberFormat="1" applyFont="1" applyBorder="1" applyAlignment="1">
      <alignment horizontal="right"/>
    </xf>
    <xf numFmtId="164" fontId="3401" fillId="0" borderId="3688" xfId="0" applyNumberFormat="1" applyFont="1" applyBorder="1" applyAlignment="1">
      <alignment horizontal="right"/>
    </xf>
    <xf numFmtId="164" fontId="3484" fillId="0" borderId="3778" xfId="0" applyNumberFormat="1" applyFont="1" applyBorder="1" applyAlignment="1">
      <alignment horizontal="right"/>
    </xf>
    <xf numFmtId="164" fontId="3561" fillId="0" borderId="3862" xfId="0" applyNumberFormat="1" applyFont="1" applyBorder="1" applyAlignment="1">
      <alignment horizontal="right"/>
    </xf>
    <xf numFmtId="164" fontId="3317" fillId="0" borderId="3597" xfId="0" applyNumberFormat="1" applyFont="1" applyBorder="1" applyAlignment="1">
      <alignment horizontal="right"/>
    </xf>
    <xf numFmtId="164" fontId="3402" fillId="0" borderId="3689" xfId="0" applyNumberFormat="1" applyFont="1" applyBorder="1" applyAlignment="1">
      <alignment horizontal="right"/>
    </xf>
    <xf numFmtId="164" fontId="3485" fillId="0" borderId="3779" xfId="0" applyNumberFormat="1" applyFont="1" applyBorder="1" applyAlignment="1">
      <alignment horizontal="right"/>
    </xf>
    <xf numFmtId="164" fontId="3562" fillId="0" borderId="3863" xfId="0" applyNumberFormat="1" applyFont="1" applyBorder="1" applyAlignment="1">
      <alignment horizontal="right"/>
    </xf>
    <xf numFmtId="164" fontId="3318" fillId="0" borderId="3598" xfId="0" applyNumberFormat="1" applyFont="1" applyBorder="1" applyAlignment="1">
      <alignment horizontal="right"/>
    </xf>
    <xf numFmtId="164" fontId="3403" fillId="0" borderId="3690" xfId="0" applyNumberFormat="1" applyFont="1" applyBorder="1" applyAlignment="1">
      <alignment horizontal="right"/>
    </xf>
    <xf numFmtId="164" fontId="3486" fillId="0" borderId="3780" xfId="0" applyNumberFormat="1" applyFont="1" applyBorder="1" applyAlignment="1">
      <alignment horizontal="right"/>
    </xf>
    <xf numFmtId="164" fontId="3563" fillId="0" borderId="3864" xfId="0" applyNumberFormat="1" applyFont="1" applyBorder="1" applyAlignment="1">
      <alignment horizontal="right"/>
    </xf>
    <xf numFmtId="164" fontId="3319" fillId="0" borderId="3599" xfId="0" applyNumberFormat="1" applyFont="1" applyBorder="1" applyAlignment="1">
      <alignment horizontal="right"/>
    </xf>
    <xf numFmtId="164" fontId="3404" fillId="0" borderId="3691" xfId="0" applyNumberFormat="1" applyFont="1" applyBorder="1" applyAlignment="1">
      <alignment horizontal="right"/>
    </xf>
    <xf numFmtId="164" fontId="3487" fillId="0" borderId="3781" xfId="0" applyNumberFormat="1" applyFont="1" applyBorder="1" applyAlignment="1">
      <alignment horizontal="right"/>
    </xf>
    <xf numFmtId="164" fontId="3564" fillId="0" borderId="3865" xfId="0" applyNumberFormat="1" applyFont="1" applyBorder="1" applyAlignment="1">
      <alignment horizontal="right"/>
    </xf>
    <xf numFmtId="164" fontId="3320" fillId="0" borderId="3600" xfId="0" applyNumberFormat="1" applyFont="1" applyBorder="1" applyAlignment="1">
      <alignment horizontal="right"/>
    </xf>
    <xf numFmtId="164" fontId="3405" fillId="0" borderId="3692" xfId="0" applyNumberFormat="1" applyFont="1" applyBorder="1" applyAlignment="1">
      <alignment horizontal="right"/>
    </xf>
    <xf numFmtId="164" fontId="3488" fillId="0" borderId="3782" xfId="0" applyNumberFormat="1" applyFont="1" applyBorder="1" applyAlignment="1">
      <alignment horizontal="right"/>
    </xf>
    <xf numFmtId="164" fontId="3565" fillId="0" borderId="3866" xfId="0" applyNumberFormat="1" applyFont="1" applyBorder="1" applyAlignment="1">
      <alignment horizontal="right"/>
    </xf>
    <xf numFmtId="164" fontId="3321" fillId="0" borderId="3601" xfId="0" applyNumberFormat="1" applyFont="1" applyBorder="1" applyAlignment="1">
      <alignment horizontal="right"/>
    </xf>
    <xf numFmtId="164" fontId="3406" fillId="0" borderId="3693" xfId="0" applyNumberFormat="1" applyFont="1" applyBorder="1" applyAlignment="1">
      <alignment horizontal="right"/>
    </xf>
    <xf numFmtId="164" fontId="3489" fillId="0" borderId="3783" xfId="0" applyNumberFormat="1" applyFont="1" applyBorder="1" applyAlignment="1">
      <alignment horizontal="right"/>
    </xf>
    <xf numFmtId="164" fontId="3566" fillId="0" borderId="3867" xfId="0" applyNumberFormat="1" applyFont="1" applyBorder="1" applyAlignment="1">
      <alignment horizontal="right"/>
    </xf>
    <xf numFmtId="164" fontId="3322" fillId="0" borderId="3602" xfId="0" applyNumberFormat="1" applyFont="1" applyBorder="1" applyAlignment="1">
      <alignment horizontal="right"/>
    </xf>
    <xf numFmtId="164" fontId="3407" fillId="0" borderId="3694" xfId="0" applyNumberFormat="1" applyFont="1" applyBorder="1" applyAlignment="1">
      <alignment horizontal="right"/>
    </xf>
    <xf numFmtId="164" fontId="3490" fillId="0" borderId="3784" xfId="0" applyNumberFormat="1" applyFont="1" applyBorder="1" applyAlignment="1">
      <alignment horizontal="right"/>
    </xf>
    <xf numFmtId="164" fontId="3567" fillId="0" borderId="3868" xfId="0" applyNumberFormat="1" applyFont="1" applyBorder="1" applyAlignment="1">
      <alignment horizontal="right"/>
    </xf>
    <xf numFmtId="164" fontId="3323" fillId="0" borderId="3603" xfId="0" applyNumberFormat="1" applyFont="1" applyBorder="1" applyAlignment="1">
      <alignment horizontal="right"/>
    </xf>
    <xf numFmtId="164" fontId="3408" fillId="0" borderId="3695" xfId="0" applyNumberFormat="1" applyFont="1" applyBorder="1" applyAlignment="1">
      <alignment horizontal="right"/>
    </xf>
    <xf numFmtId="164" fontId="3491" fillId="0" borderId="3785" xfId="0" applyNumberFormat="1" applyFont="1" applyBorder="1" applyAlignment="1">
      <alignment horizontal="right"/>
    </xf>
    <xf numFmtId="164" fontId="3568" fillId="0" borderId="3869" xfId="0" applyNumberFormat="1" applyFont="1" applyBorder="1" applyAlignment="1">
      <alignment horizontal="right"/>
    </xf>
    <xf numFmtId="164" fontId="3324" fillId="0" borderId="3604" xfId="0" applyNumberFormat="1" applyFont="1" applyBorder="1" applyAlignment="1">
      <alignment horizontal="right"/>
    </xf>
    <xf numFmtId="164" fontId="3409" fillId="0" borderId="3696" xfId="0" applyNumberFormat="1" applyFont="1" applyBorder="1" applyAlignment="1">
      <alignment horizontal="right"/>
    </xf>
    <xf numFmtId="164" fontId="3492" fillId="0" borderId="3786" xfId="0" applyNumberFormat="1" applyFont="1" applyBorder="1" applyAlignment="1">
      <alignment horizontal="right"/>
    </xf>
    <xf numFmtId="164" fontId="3569" fillId="0" borderId="3870" xfId="0" applyNumberFormat="1" applyFont="1" applyBorder="1" applyAlignment="1">
      <alignment horizontal="right"/>
    </xf>
    <xf numFmtId="164" fontId="3325" fillId="0" borderId="3605" xfId="0" applyNumberFormat="1" applyFont="1" applyBorder="1" applyAlignment="1">
      <alignment horizontal="right"/>
    </xf>
    <xf numFmtId="164" fontId="3410" fillId="0" borderId="3697" xfId="0" applyNumberFormat="1" applyFont="1" applyBorder="1" applyAlignment="1">
      <alignment horizontal="right"/>
    </xf>
    <xf numFmtId="164" fontId="3493" fillId="0" borderId="3787" xfId="0" applyNumberFormat="1" applyFont="1" applyBorder="1" applyAlignment="1">
      <alignment horizontal="right"/>
    </xf>
    <xf numFmtId="164" fontId="3570" fillId="0" borderId="3871" xfId="0" applyNumberFormat="1" applyFont="1" applyBorder="1" applyAlignment="1">
      <alignment horizontal="right"/>
    </xf>
    <xf numFmtId="164" fontId="3301" fillId="0" borderId="3581" xfId="0" applyNumberFormat="1" applyFont="1" applyBorder="1" applyAlignment="1">
      <alignment horizontal="right"/>
    </xf>
    <xf numFmtId="164" fontId="3386" fillId="0" borderId="3673" xfId="0" applyNumberFormat="1" applyFont="1" applyBorder="1" applyAlignment="1">
      <alignment horizontal="right"/>
    </xf>
    <xf numFmtId="164" fontId="3471" fillId="0" borderId="3765" xfId="0" applyNumberFormat="1" applyFont="1" applyBorder="1" applyAlignment="1">
      <alignment horizontal="right"/>
    </xf>
    <xf numFmtId="164" fontId="3546" fillId="0" borderId="3847" xfId="0" applyNumberFormat="1" applyFont="1" applyBorder="1" applyAlignment="1">
      <alignment horizontal="right"/>
    </xf>
    <xf numFmtId="164" fontId="3331" fillId="0" borderId="3611" xfId="0" applyNumberFormat="1" applyFont="1" applyBorder="1" applyAlignment="1">
      <alignment horizontal="right"/>
    </xf>
    <xf numFmtId="164" fontId="3416" fillId="0" borderId="3703" xfId="0" applyNumberFormat="1" applyFont="1" applyBorder="1" applyAlignment="1">
      <alignment horizontal="right"/>
    </xf>
    <xf numFmtId="164" fontId="3497" fillId="0" borderId="3791" xfId="0" applyNumberFormat="1" applyFont="1" applyBorder="1" applyAlignment="1">
      <alignment horizontal="right"/>
    </xf>
    <xf numFmtId="164" fontId="3576" fillId="0" borderId="3877" xfId="0" applyNumberFormat="1" applyFont="1" applyBorder="1" applyAlignment="1">
      <alignment horizontal="right"/>
    </xf>
    <xf numFmtId="164" fontId="3332" fillId="0" borderId="3612" xfId="0" applyNumberFormat="1" applyFont="1" applyBorder="1" applyAlignment="1">
      <alignment horizontal="right"/>
    </xf>
    <xf numFmtId="164" fontId="3417" fillId="0" borderId="3704" xfId="0" applyNumberFormat="1" applyFont="1" applyBorder="1" applyAlignment="1">
      <alignment horizontal="right"/>
    </xf>
    <xf numFmtId="164" fontId="3498" fillId="0" borderId="3792" xfId="0" applyNumberFormat="1" applyFont="1" applyBorder="1" applyAlignment="1">
      <alignment horizontal="right"/>
    </xf>
    <xf numFmtId="164" fontId="3577" fillId="0" borderId="3878" xfId="0" applyNumberFormat="1" applyFont="1" applyBorder="1" applyAlignment="1">
      <alignment horizontal="right"/>
    </xf>
    <xf numFmtId="164" fontId="3333" fillId="0" borderId="3613" xfId="0" applyNumberFormat="1" applyFont="1" applyBorder="1" applyAlignment="1">
      <alignment horizontal="right"/>
    </xf>
    <xf numFmtId="164" fontId="3418" fillId="0" borderId="3705" xfId="0" applyNumberFormat="1" applyFont="1" applyBorder="1" applyAlignment="1">
      <alignment horizontal="right"/>
    </xf>
    <xf numFmtId="164" fontId="3499" fillId="0" borderId="3793" xfId="0" applyNumberFormat="1" applyFont="1" applyBorder="1" applyAlignment="1">
      <alignment horizontal="right"/>
    </xf>
    <xf numFmtId="164" fontId="3578" fillId="0" borderId="3879" xfId="0" applyNumberFormat="1" applyFont="1" applyBorder="1" applyAlignment="1">
      <alignment horizontal="right"/>
    </xf>
    <xf numFmtId="164" fontId="3334" fillId="0" borderId="3614" xfId="0" applyNumberFormat="1" applyFont="1" applyBorder="1" applyAlignment="1">
      <alignment horizontal="right"/>
    </xf>
    <xf numFmtId="164" fontId="3419" fillId="0" borderId="3706" xfId="0" applyNumberFormat="1" applyFont="1" applyBorder="1" applyAlignment="1">
      <alignment horizontal="right"/>
    </xf>
    <xf numFmtId="164" fontId="3500" fillId="0" borderId="3794" xfId="0" applyNumberFormat="1" applyFont="1" applyBorder="1" applyAlignment="1">
      <alignment horizontal="right"/>
    </xf>
    <xf numFmtId="164" fontId="3579" fillId="0" borderId="3880" xfId="0" applyNumberFormat="1" applyFont="1" applyBorder="1" applyAlignment="1">
      <alignment horizontal="right"/>
    </xf>
    <xf numFmtId="164" fontId="3335" fillId="0" borderId="3615" xfId="0" applyNumberFormat="1" applyFont="1" applyBorder="1" applyAlignment="1">
      <alignment horizontal="right"/>
    </xf>
    <xf numFmtId="164" fontId="3420" fillId="0" borderId="3707" xfId="0" applyNumberFormat="1" applyFont="1" applyBorder="1" applyAlignment="1">
      <alignment horizontal="right"/>
    </xf>
    <xf numFmtId="164" fontId="3501" fillId="0" borderId="3795" xfId="0" applyNumberFormat="1" applyFont="1" applyBorder="1" applyAlignment="1">
      <alignment horizontal="right"/>
    </xf>
    <xf numFmtId="164" fontId="3580" fillId="0" borderId="3881" xfId="0" applyNumberFormat="1" applyFont="1" applyBorder="1" applyAlignment="1">
      <alignment horizontal="right"/>
    </xf>
    <xf numFmtId="164" fontId="3336" fillId="0" borderId="3616" xfId="0" applyNumberFormat="1" applyFont="1" applyBorder="1" applyAlignment="1">
      <alignment horizontal="right"/>
    </xf>
    <xf numFmtId="164" fontId="3421" fillId="0" borderId="3708" xfId="0" applyNumberFormat="1" applyFont="1" applyBorder="1" applyAlignment="1">
      <alignment horizontal="right"/>
    </xf>
    <xf numFmtId="164" fontId="3502" fillId="0" borderId="3796" xfId="0" applyNumberFormat="1" applyFont="1" applyBorder="1" applyAlignment="1">
      <alignment horizontal="right"/>
    </xf>
    <xf numFmtId="164" fontId="3581" fillId="0" borderId="3882" xfId="0" applyNumberFormat="1" applyFont="1" applyBorder="1" applyAlignment="1">
      <alignment horizontal="right"/>
    </xf>
    <xf numFmtId="164" fontId="3337" fillId="0" borderId="3617" xfId="0" applyNumberFormat="1" applyFont="1" applyBorder="1" applyAlignment="1">
      <alignment horizontal="right"/>
    </xf>
    <xf numFmtId="164" fontId="3422" fillId="0" borderId="3709" xfId="0" applyNumberFormat="1" applyFont="1" applyBorder="1" applyAlignment="1">
      <alignment horizontal="right"/>
    </xf>
    <xf numFmtId="164" fontId="3503" fillId="0" borderId="3797" xfId="0" applyNumberFormat="1" applyFont="1" applyBorder="1" applyAlignment="1">
      <alignment horizontal="right"/>
    </xf>
    <xf numFmtId="164" fontId="3582" fillId="0" borderId="3883" xfId="0" applyNumberFormat="1" applyFont="1" applyBorder="1" applyAlignment="1">
      <alignment horizontal="right"/>
    </xf>
    <xf numFmtId="164" fontId="3338" fillId="0" borderId="3618" xfId="0" applyNumberFormat="1" applyFont="1" applyBorder="1" applyAlignment="1">
      <alignment horizontal="right"/>
    </xf>
    <xf numFmtId="164" fontId="3423" fillId="0" borderId="3710" xfId="0" applyNumberFormat="1" applyFont="1" applyBorder="1" applyAlignment="1">
      <alignment horizontal="right"/>
    </xf>
    <xf numFmtId="164" fontId="3504" fillId="0" borderId="3798" xfId="0" applyNumberFormat="1" applyFont="1" applyBorder="1" applyAlignment="1">
      <alignment horizontal="right"/>
    </xf>
    <xf numFmtId="164" fontId="3583" fillId="0" borderId="3884" xfId="0" applyNumberFormat="1" applyFont="1" applyBorder="1" applyAlignment="1">
      <alignment horizontal="right"/>
    </xf>
    <xf numFmtId="164" fontId="3339" fillId="0" borderId="3619" xfId="0" applyNumberFormat="1" applyFont="1" applyBorder="1" applyAlignment="1">
      <alignment horizontal="right"/>
    </xf>
    <xf numFmtId="164" fontId="3424" fillId="0" borderId="3711" xfId="0" applyNumberFormat="1" applyFont="1" applyBorder="1" applyAlignment="1">
      <alignment horizontal="right"/>
    </xf>
    <xf numFmtId="164" fontId="3505" fillId="0" borderId="3799" xfId="0" applyNumberFormat="1" applyFont="1" applyBorder="1" applyAlignment="1">
      <alignment horizontal="right"/>
    </xf>
    <xf numFmtId="164" fontId="3584" fillId="0" borderId="3885" xfId="0" applyNumberFormat="1" applyFont="1" applyBorder="1" applyAlignment="1">
      <alignment horizontal="right"/>
    </xf>
    <xf numFmtId="164" fontId="3340" fillId="0" borderId="3620" xfId="0" applyNumberFormat="1" applyFont="1" applyBorder="1" applyAlignment="1">
      <alignment horizontal="right"/>
    </xf>
    <xf numFmtId="164" fontId="3425" fillId="0" borderId="3712" xfId="0" applyNumberFormat="1" applyFont="1" applyBorder="1" applyAlignment="1">
      <alignment horizontal="right"/>
    </xf>
    <xf numFmtId="164" fontId="3506" fillId="0" borderId="3800" xfId="0" applyNumberFormat="1" applyFont="1" applyBorder="1" applyAlignment="1">
      <alignment horizontal="right"/>
    </xf>
    <xf numFmtId="164" fontId="3585" fillId="0" borderId="3886" xfId="0" applyNumberFormat="1" applyFont="1" applyBorder="1" applyAlignment="1">
      <alignment horizontal="right"/>
    </xf>
    <xf numFmtId="164" fontId="3341" fillId="0" borderId="3621" xfId="0" applyNumberFormat="1" applyFont="1" applyBorder="1" applyAlignment="1">
      <alignment horizontal="right"/>
    </xf>
    <xf numFmtId="164" fontId="3426" fillId="0" borderId="3713" xfId="0" applyNumberFormat="1" applyFont="1" applyBorder="1" applyAlignment="1">
      <alignment horizontal="right"/>
    </xf>
    <xf numFmtId="164" fontId="3507" fillId="0" borderId="3801" xfId="0" applyNumberFormat="1" applyFont="1" applyBorder="1" applyAlignment="1">
      <alignment horizontal="right"/>
    </xf>
    <xf numFmtId="164" fontId="3586" fillId="0" borderId="3887" xfId="0" applyNumberFormat="1" applyFont="1" applyBorder="1" applyAlignment="1">
      <alignment horizontal="right"/>
    </xf>
    <xf numFmtId="164" fontId="3342" fillId="0" borderId="3622" xfId="0" applyNumberFormat="1" applyFont="1" applyBorder="1" applyAlignment="1">
      <alignment horizontal="right"/>
    </xf>
    <xf numFmtId="164" fontId="3427" fillId="0" borderId="3714" xfId="0" applyNumberFormat="1" applyFont="1" applyBorder="1" applyAlignment="1">
      <alignment horizontal="right"/>
    </xf>
    <xf numFmtId="164" fontId="3508" fillId="0" borderId="3802" xfId="0" applyNumberFormat="1" applyFont="1" applyBorder="1" applyAlignment="1">
      <alignment horizontal="right"/>
    </xf>
    <xf numFmtId="164" fontId="3587" fillId="0" borderId="3888" xfId="0" applyNumberFormat="1" applyFont="1" applyBorder="1" applyAlignment="1">
      <alignment horizontal="right"/>
    </xf>
    <xf numFmtId="164" fontId="3343" fillId="0" borderId="3623" xfId="0" applyNumberFormat="1" applyFont="1" applyBorder="1" applyAlignment="1">
      <alignment horizontal="right"/>
    </xf>
    <xf numFmtId="164" fontId="3428" fillId="0" borderId="3715" xfId="0" applyNumberFormat="1" applyFont="1" applyBorder="1" applyAlignment="1">
      <alignment horizontal="right"/>
    </xf>
    <xf numFmtId="164" fontId="3509" fillId="0" borderId="3803" xfId="0" applyNumberFormat="1" applyFont="1" applyBorder="1" applyAlignment="1">
      <alignment horizontal="right"/>
    </xf>
    <xf numFmtId="164" fontId="3588" fillId="0" borderId="3889" xfId="0" applyNumberFormat="1" applyFont="1" applyBorder="1" applyAlignment="1">
      <alignment horizontal="right"/>
    </xf>
    <xf numFmtId="164" fontId="3344" fillId="0" borderId="3624" xfId="0" applyNumberFormat="1" applyFont="1" applyBorder="1" applyAlignment="1">
      <alignment horizontal="right"/>
    </xf>
    <xf numFmtId="164" fontId="3429" fillId="0" borderId="3716" xfId="0" applyNumberFormat="1" applyFont="1" applyBorder="1" applyAlignment="1">
      <alignment horizontal="right"/>
    </xf>
    <xf numFmtId="164" fontId="3510" fillId="0" borderId="3804" xfId="0" applyNumberFormat="1" applyFont="1" applyBorder="1" applyAlignment="1">
      <alignment horizontal="right"/>
    </xf>
    <xf numFmtId="164" fontId="3589" fillId="0" borderId="3890" xfId="0" applyNumberFormat="1" applyFont="1" applyBorder="1" applyAlignment="1">
      <alignment horizontal="right"/>
    </xf>
    <xf numFmtId="164" fontId="3345" fillId="0" borderId="3625" xfId="0" applyNumberFormat="1" applyFont="1" applyBorder="1" applyAlignment="1">
      <alignment horizontal="right"/>
    </xf>
    <xf numFmtId="164" fontId="3430" fillId="0" borderId="3717" xfId="0" applyNumberFormat="1" applyFont="1" applyBorder="1" applyAlignment="1">
      <alignment horizontal="right"/>
    </xf>
    <xf numFmtId="164" fontId="3511" fillId="0" borderId="3805" xfId="0" applyNumberFormat="1" applyFont="1" applyBorder="1" applyAlignment="1">
      <alignment horizontal="right"/>
    </xf>
    <xf numFmtId="164" fontId="3590" fillId="0" borderId="3891" xfId="0" applyNumberFormat="1" applyFont="1" applyBorder="1" applyAlignment="1">
      <alignment horizontal="right"/>
    </xf>
    <xf numFmtId="164" fontId="3302" fillId="0" borderId="3582" xfId="0" applyNumberFormat="1" applyFont="1" applyBorder="1" applyAlignment="1">
      <alignment horizontal="right"/>
    </xf>
    <xf numFmtId="164" fontId="3387" fillId="0" borderId="3674" xfId="0" applyNumberFormat="1" applyFont="1" applyBorder="1" applyAlignment="1">
      <alignment horizontal="right"/>
    </xf>
    <xf numFmtId="164" fontId="3472" fillId="0" borderId="3766" xfId="0" applyNumberFormat="1" applyFont="1" applyBorder="1" applyAlignment="1">
      <alignment horizontal="right"/>
    </xf>
    <xf numFmtId="164" fontId="3547" fillId="0" borderId="3848" xfId="0" applyNumberFormat="1" applyFont="1" applyBorder="1" applyAlignment="1">
      <alignment horizontal="right"/>
    </xf>
    <xf numFmtId="164" fontId="3351" fillId="0" borderId="3631" xfId="0" applyNumberFormat="1" applyFont="1" applyBorder="1" applyAlignment="1">
      <alignment horizontal="right"/>
    </xf>
    <xf numFmtId="164" fontId="3436" fillId="0" borderId="3723" xfId="0" applyNumberFormat="1" applyFont="1" applyBorder="1" applyAlignment="1">
      <alignment horizontal="right"/>
    </xf>
    <xf numFmtId="164" fontId="3515" fillId="0" borderId="3809" xfId="0" applyNumberFormat="1" applyFont="1" applyBorder="1" applyAlignment="1">
      <alignment horizontal="right"/>
    </xf>
    <xf numFmtId="164" fontId="3596" fillId="0" borderId="3897" xfId="0" applyNumberFormat="1" applyFont="1" applyBorder="1" applyAlignment="1">
      <alignment horizontal="right"/>
    </xf>
    <xf numFmtId="164" fontId="3352" fillId="0" borderId="3632" xfId="0" applyNumberFormat="1" applyFont="1" applyBorder="1" applyAlignment="1">
      <alignment horizontal="right"/>
    </xf>
    <xf numFmtId="164" fontId="3437" fillId="0" borderId="3724" xfId="0" applyNumberFormat="1" applyFont="1" applyBorder="1" applyAlignment="1">
      <alignment horizontal="right"/>
    </xf>
    <xf numFmtId="164" fontId="3516" fillId="0" borderId="3810" xfId="0" applyNumberFormat="1" applyFont="1" applyBorder="1" applyAlignment="1">
      <alignment horizontal="right"/>
    </xf>
    <xf numFmtId="164" fontId="3597" fillId="0" borderId="3898" xfId="0" applyNumberFormat="1" applyFont="1" applyBorder="1" applyAlignment="1">
      <alignment horizontal="right"/>
    </xf>
    <xf numFmtId="164" fontId="3353" fillId="0" borderId="3633" xfId="0" applyNumberFormat="1" applyFont="1" applyBorder="1" applyAlignment="1">
      <alignment horizontal="right"/>
    </xf>
    <xf numFmtId="164" fontId="3438" fillId="0" borderId="3725" xfId="0" applyNumberFormat="1" applyFont="1" applyBorder="1" applyAlignment="1">
      <alignment horizontal="right"/>
    </xf>
    <xf numFmtId="164" fontId="3517" fillId="0" borderId="3811" xfId="0" applyNumberFormat="1" applyFont="1" applyBorder="1" applyAlignment="1">
      <alignment horizontal="right"/>
    </xf>
    <xf numFmtId="164" fontId="3598" fillId="0" borderId="3899" xfId="0" applyNumberFormat="1" applyFont="1" applyBorder="1" applyAlignment="1">
      <alignment horizontal="right"/>
    </xf>
    <xf numFmtId="164" fontId="3354" fillId="0" borderId="3634" xfId="0" applyNumberFormat="1" applyFont="1" applyBorder="1" applyAlignment="1">
      <alignment horizontal="right"/>
    </xf>
    <xf numFmtId="164" fontId="3439" fillId="0" borderId="3726" xfId="0" applyNumberFormat="1" applyFont="1" applyBorder="1" applyAlignment="1">
      <alignment horizontal="right"/>
    </xf>
    <xf numFmtId="164" fontId="3518" fillId="0" borderId="3812" xfId="0" applyNumberFormat="1" applyFont="1" applyBorder="1" applyAlignment="1">
      <alignment horizontal="right"/>
    </xf>
    <xf numFmtId="164" fontId="3599" fillId="0" borderId="3900" xfId="0" applyNumberFormat="1" applyFont="1" applyBorder="1" applyAlignment="1">
      <alignment horizontal="right"/>
    </xf>
    <xf numFmtId="164" fontId="3355" fillId="0" borderId="3635" xfId="0" applyNumberFormat="1" applyFont="1" applyBorder="1" applyAlignment="1">
      <alignment horizontal="right"/>
    </xf>
    <xf numFmtId="164" fontId="3440" fillId="0" borderId="3727" xfId="0" applyNumberFormat="1" applyFont="1" applyBorder="1" applyAlignment="1">
      <alignment horizontal="right"/>
    </xf>
    <xf numFmtId="164" fontId="3519" fillId="0" borderId="3813" xfId="0" applyNumberFormat="1" applyFont="1" applyBorder="1" applyAlignment="1">
      <alignment horizontal="right"/>
    </xf>
    <xf numFmtId="164" fontId="3600" fillId="0" borderId="3901" xfId="0" applyNumberFormat="1" applyFont="1" applyBorder="1" applyAlignment="1">
      <alignment horizontal="right"/>
    </xf>
    <xf numFmtId="164" fontId="3356" fillId="0" borderId="3636" xfId="0" applyNumberFormat="1" applyFont="1" applyBorder="1" applyAlignment="1">
      <alignment horizontal="right"/>
    </xf>
    <xf numFmtId="164" fontId="3441" fillId="0" borderId="3728" xfId="0" applyNumberFormat="1" applyFont="1" applyBorder="1" applyAlignment="1">
      <alignment horizontal="right"/>
    </xf>
    <xf numFmtId="164" fontId="3520" fillId="0" borderId="3814" xfId="0" applyNumberFormat="1" applyFont="1" applyBorder="1" applyAlignment="1">
      <alignment horizontal="right"/>
    </xf>
    <xf numFmtId="164" fontId="3601" fillId="0" borderId="3902" xfId="0" applyNumberFormat="1" applyFont="1" applyBorder="1" applyAlignment="1">
      <alignment horizontal="right"/>
    </xf>
    <xf numFmtId="164" fontId="3357" fillId="0" borderId="3637" xfId="0" applyNumberFormat="1" applyFont="1" applyBorder="1" applyAlignment="1">
      <alignment horizontal="right"/>
    </xf>
    <xf numFmtId="164" fontId="3442" fillId="0" borderId="3729" xfId="0" applyNumberFormat="1" applyFont="1" applyBorder="1" applyAlignment="1">
      <alignment horizontal="right"/>
    </xf>
    <xf numFmtId="164" fontId="3521" fillId="0" borderId="3815" xfId="0" applyNumberFormat="1" applyFont="1" applyBorder="1" applyAlignment="1">
      <alignment horizontal="right"/>
    </xf>
    <xf numFmtId="164" fontId="3602" fillId="0" borderId="3903" xfId="0" applyNumberFormat="1" applyFont="1" applyBorder="1" applyAlignment="1">
      <alignment horizontal="right"/>
    </xf>
    <xf numFmtId="164" fontId="3358" fillId="0" borderId="3638" xfId="0" applyNumberFormat="1" applyFont="1" applyBorder="1" applyAlignment="1">
      <alignment horizontal="right"/>
    </xf>
    <xf numFmtId="164" fontId="3443" fillId="0" borderId="3730" xfId="0" applyNumberFormat="1" applyFont="1" applyBorder="1" applyAlignment="1">
      <alignment horizontal="right"/>
    </xf>
    <xf numFmtId="164" fontId="3522" fillId="0" borderId="3816" xfId="0" applyNumberFormat="1" applyFont="1" applyBorder="1" applyAlignment="1">
      <alignment horizontal="right"/>
    </xf>
    <xf numFmtId="164" fontId="3603" fillId="0" borderId="3904" xfId="0" applyNumberFormat="1" applyFont="1" applyBorder="1" applyAlignment="1">
      <alignment horizontal="right"/>
    </xf>
    <xf numFmtId="164" fontId="3359" fillId="0" borderId="3639" xfId="0" applyNumberFormat="1" applyFont="1" applyBorder="1" applyAlignment="1">
      <alignment horizontal="right"/>
    </xf>
    <xf numFmtId="164" fontId="3444" fillId="0" borderId="3731" xfId="0" applyNumberFormat="1" applyFont="1" applyBorder="1" applyAlignment="1">
      <alignment horizontal="right"/>
    </xf>
    <xf numFmtId="164" fontId="3523" fillId="0" borderId="3817" xfId="0" applyNumberFormat="1" applyFont="1" applyBorder="1" applyAlignment="1">
      <alignment horizontal="right"/>
    </xf>
    <xf numFmtId="164" fontId="3604" fillId="0" borderId="3905" xfId="0" applyNumberFormat="1" applyFont="1" applyBorder="1" applyAlignment="1">
      <alignment horizontal="right"/>
    </xf>
    <xf numFmtId="164" fontId="3360" fillId="0" borderId="3640" xfId="0" applyNumberFormat="1" applyFont="1" applyBorder="1" applyAlignment="1">
      <alignment horizontal="right"/>
    </xf>
    <xf numFmtId="164" fontId="3445" fillId="0" borderId="3732" xfId="0" applyNumberFormat="1" applyFont="1" applyBorder="1" applyAlignment="1">
      <alignment horizontal="right"/>
    </xf>
    <xf numFmtId="164" fontId="3524" fillId="0" borderId="3818" xfId="0" applyNumberFormat="1" applyFont="1" applyBorder="1" applyAlignment="1">
      <alignment horizontal="right"/>
    </xf>
    <xf numFmtId="164" fontId="3605" fillId="0" borderId="3906" xfId="0" applyNumberFormat="1" applyFont="1" applyBorder="1" applyAlignment="1">
      <alignment horizontal="right"/>
    </xf>
    <xf numFmtId="164" fontId="3361" fillId="0" borderId="3641" xfId="0" applyNumberFormat="1" applyFont="1" applyBorder="1" applyAlignment="1">
      <alignment horizontal="right"/>
    </xf>
    <xf numFmtId="164" fontId="3446" fillId="0" borderId="3733" xfId="0" applyNumberFormat="1" applyFont="1" applyBorder="1" applyAlignment="1">
      <alignment horizontal="right"/>
    </xf>
    <xf numFmtId="164" fontId="3525" fillId="0" borderId="3819" xfId="0" applyNumberFormat="1" applyFont="1" applyBorder="1" applyAlignment="1">
      <alignment horizontal="right"/>
    </xf>
    <xf numFmtId="164" fontId="3606" fillId="0" borderId="3907" xfId="0" applyNumberFormat="1" applyFont="1" applyBorder="1" applyAlignment="1">
      <alignment horizontal="right"/>
    </xf>
    <xf numFmtId="164" fontId="3362" fillId="0" borderId="3642" xfId="0" applyNumberFormat="1" applyFont="1" applyBorder="1" applyAlignment="1">
      <alignment horizontal="right"/>
    </xf>
    <xf numFmtId="164" fontId="3447" fillId="0" borderId="3734" xfId="0" applyNumberFormat="1" applyFont="1" applyBorder="1" applyAlignment="1">
      <alignment horizontal="right"/>
    </xf>
    <xf numFmtId="164" fontId="3526" fillId="0" borderId="3820" xfId="0" applyNumberFormat="1" applyFont="1" applyBorder="1" applyAlignment="1">
      <alignment horizontal="right"/>
    </xf>
    <xf numFmtId="164" fontId="3607" fillId="0" borderId="3908" xfId="0" applyNumberFormat="1" applyFont="1" applyBorder="1" applyAlignment="1">
      <alignment horizontal="right"/>
    </xf>
    <xf numFmtId="164" fontId="3363" fillId="0" borderId="3643" xfId="0" applyNumberFormat="1" applyFont="1" applyBorder="1" applyAlignment="1">
      <alignment horizontal="right"/>
    </xf>
    <xf numFmtId="164" fontId="3448" fillId="0" borderId="3735" xfId="0" applyNumberFormat="1" applyFont="1" applyBorder="1" applyAlignment="1">
      <alignment horizontal="right"/>
    </xf>
    <xf numFmtId="164" fontId="3527" fillId="0" borderId="3821" xfId="0" applyNumberFormat="1" applyFont="1" applyBorder="1" applyAlignment="1">
      <alignment horizontal="right"/>
    </xf>
    <xf numFmtId="164" fontId="3608" fillId="0" borderId="3909" xfId="0" applyNumberFormat="1" applyFont="1" applyBorder="1" applyAlignment="1">
      <alignment horizontal="right"/>
    </xf>
    <xf numFmtId="164" fontId="3364" fillId="0" borderId="3644" xfId="0" applyNumberFormat="1" applyFont="1" applyBorder="1" applyAlignment="1">
      <alignment horizontal="right"/>
    </xf>
    <xf numFmtId="164" fontId="3449" fillId="0" borderId="3736" xfId="0" applyNumberFormat="1" applyFont="1" applyBorder="1" applyAlignment="1">
      <alignment horizontal="right"/>
    </xf>
    <xf numFmtId="164" fontId="3528" fillId="0" borderId="3822" xfId="0" applyNumberFormat="1" applyFont="1" applyBorder="1" applyAlignment="1">
      <alignment horizontal="right"/>
    </xf>
    <xf numFmtId="164" fontId="3609" fillId="0" borderId="3910" xfId="0" applyNumberFormat="1" applyFont="1" applyBorder="1" applyAlignment="1">
      <alignment horizontal="right"/>
    </xf>
    <xf numFmtId="164" fontId="3303" fillId="0" borderId="3583" xfId="0" applyNumberFormat="1" applyFont="1" applyBorder="1" applyAlignment="1">
      <alignment horizontal="right"/>
    </xf>
    <xf numFmtId="164" fontId="3388" fillId="0" borderId="3675" xfId="0" applyNumberFormat="1" applyFont="1" applyBorder="1" applyAlignment="1">
      <alignment horizontal="right"/>
    </xf>
    <xf numFmtId="164" fontId="3473" fillId="0" borderId="3767" xfId="0" applyNumberFormat="1" applyFont="1" applyBorder="1" applyAlignment="1">
      <alignment horizontal="right"/>
    </xf>
    <xf numFmtId="164" fontId="3548" fillId="0" borderId="3849" xfId="0" applyNumberFormat="1" applyFont="1" applyBorder="1" applyAlignment="1">
      <alignment horizontal="right"/>
    </xf>
    <xf numFmtId="164" fontId="3370" fillId="0" borderId="3650" xfId="0" applyNumberFormat="1" applyFont="1" applyBorder="1" applyAlignment="1">
      <alignment horizontal="right"/>
    </xf>
    <xf numFmtId="164" fontId="3455" fillId="0" borderId="3742" xfId="0" applyNumberFormat="1" applyFont="1" applyBorder="1" applyAlignment="1">
      <alignment horizontal="right"/>
    </xf>
    <xf numFmtId="164" fontId="3532" fillId="0" borderId="3826" xfId="0" applyNumberFormat="1" applyFont="1" applyBorder="1" applyAlignment="1">
      <alignment horizontal="right"/>
    </xf>
    <xf numFmtId="164" fontId="3615" fillId="0" borderId="3916" xfId="0" applyNumberFormat="1" applyFont="1" applyBorder="1" applyAlignment="1">
      <alignment horizontal="right"/>
    </xf>
    <xf numFmtId="164" fontId="3371" fillId="0" borderId="3651" xfId="0" applyNumberFormat="1" applyFont="1" applyBorder="1" applyAlignment="1">
      <alignment horizontal="right"/>
    </xf>
    <xf numFmtId="164" fontId="3456" fillId="0" borderId="3743" xfId="0" applyNumberFormat="1" applyFont="1" applyBorder="1" applyAlignment="1">
      <alignment horizontal="right"/>
    </xf>
    <xf numFmtId="164" fontId="3533" fillId="0" borderId="3827" xfId="0" applyNumberFormat="1" applyFont="1" applyBorder="1" applyAlignment="1">
      <alignment horizontal="right"/>
    </xf>
    <xf numFmtId="164" fontId="3616" fillId="0" borderId="3917" xfId="0" applyNumberFormat="1" applyFont="1" applyBorder="1" applyAlignment="1">
      <alignment horizontal="right"/>
    </xf>
    <xf numFmtId="164" fontId="3372" fillId="0" borderId="3652" xfId="0" applyNumberFormat="1" applyFont="1" applyBorder="1" applyAlignment="1">
      <alignment horizontal="right"/>
    </xf>
    <xf numFmtId="164" fontId="3457" fillId="0" borderId="3744" xfId="0" applyNumberFormat="1" applyFont="1" applyBorder="1" applyAlignment="1">
      <alignment horizontal="right"/>
    </xf>
    <xf numFmtId="164" fontId="3534" fillId="0" borderId="3828" xfId="0" applyNumberFormat="1" applyFont="1" applyBorder="1" applyAlignment="1">
      <alignment horizontal="right"/>
    </xf>
    <xf numFmtId="164" fontId="3617" fillId="0" borderId="3918" xfId="0" applyNumberFormat="1" applyFont="1" applyBorder="1" applyAlignment="1">
      <alignment horizontal="right"/>
    </xf>
    <xf numFmtId="164" fontId="3373" fillId="0" borderId="3653" xfId="0" applyNumberFormat="1" applyFont="1" applyBorder="1" applyAlignment="1">
      <alignment horizontal="right"/>
    </xf>
    <xf numFmtId="164" fontId="3458" fillId="0" borderId="3745" xfId="0" applyNumberFormat="1" applyFont="1" applyBorder="1" applyAlignment="1">
      <alignment horizontal="right"/>
    </xf>
    <xf numFmtId="164" fontId="3535" fillId="0" borderId="3829" xfId="0" applyNumberFormat="1" applyFont="1" applyBorder="1" applyAlignment="1">
      <alignment horizontal="right"/>
    </xf>
    <xf numFmtId="164" fontId="3618" fillId="0" borderId="3919" xfId="0" applyNumberFormat="1" applyFont="1" applyBorder="1" applyAlignment="1">
      <alignment horizontal="right"/>
    </xf>
    <xf numFmtId="164" fontId="3374" fillId="0" borderId="3654" xfId="0" applyNumberFormat="1" applyFont="1" applyBorder="1" applyAlignment="1">
      <alignment horizontal="right"/>
    </xf>
    <xf numFmtId="164" fontId="3459" fillId="0" borderId="3746" xfId="0" applyNumberFormat="1" applyFont="1" applyBorder="1" applyAlignment="1">
      <alignment horizontal="right"/>
    </xf>
    <xf numFmtId="164" fontId="3536" fillId="0" borderId="3830" xfId="0" applyNumberFormat="1" applyFont="1" applyBorder="1" applyAlignment="1">
      <alignment horizontal="right"/>
    </xf>
    <xf numFmtId="164" fontId="3619" fillId="0" borderId="3920" xfId="0" applyNumberFormat="1" applyFont="1" applyBorder="1" applyAlignment="1">
      <alignment horizontal="right"/>
    </xf>
    <xf numFmtId="164" fontId="3375" fillId="0" borderId="3655" xfId="0" applyNumberFormat="1" applyFont="1" applyBorder="1" applyAlignment="1">
      <alignment horizontal="right"/>
    </xf>
    <xf numFmtId="164" fontId="3460" fillId="0" borderId="3747" xfId="0" applyNumberFormat="1" applyFont="1" applyBorder="1" applyAlignment="1">
      <alignment horizontal="right"/>
    </xf>
    <xf numFmtId="164" fontId="3537" fillId="0" borderId="3831" xfId="0" applyNumberFormat="1" applyFont="1" applyBorder="1" applyAlignment="1">
      <alignment horizontal="right"/>
    </xf>
    <xf numFmtId="164" fontId="3620" fillId="0" borderId="3921" xfId="0" applyNumberFormat="1" applyFont="1" applyBorder="1" applyAlignment="1">
      <alignment horizontal="right"/>
    </xf>
    <xf numFmtId="164" fontId="1" fillId="0" borderId="3656" xfId="0" applyNumberFormat="1" applyFont="1" applyBorder="1" applyAlignment="1">
      <alignment horizontal="right"/>
    </xf>
    <xf numFmtId="164" fontId="1" fillId="0" borderId="3748" xfId="0" applyNumberFormat="1" applyFont="1" applyBorder="1" applyAlignment="1">
      <alignment horizontal="right"/>
    </xf>
    <xf numFmtId="164" fontId="1" fillId="0" borderId="3832" xfId="0" applyNumberFormat="1" applyFont="1" applyBorder="1" applyAlignment="1">
      <alignment horizontal="right"/>
    </xf>
    <xf numFmtId="164" fontId="1" fillId="0" borderId="3922" xfId="0" applyNumberFormat="1" applyFont="1" applyBorder="1" applyAlignment="1">
      <alignment horizontal="right"/>
    </xf>
    <xf numFmtId="164" fontId="1" fillId="0" borderId="3657" xfId="0" applyNumberFormat="1" applyFont="1" applyBorder="1" applyAlignment="1">
      <alignment horizontal="right"/>
    </xf>
    <xf numFmtId="164" fontId="1" fillId="0" borderId="3749" xfId="0" applyNumberFormat="1" applyFont="1" applyBorder="1" applyAlignment="1">
      <alignment horizontal="right"/>
    </xf>
    <xf numFmtId="164" fontId="1" fillId="0" borderId="3833" xfId="0" applyNumberFormat="1" applyFont="1" applyBorder="1" applyAlignment="1">
      <alignment horizontal="right"/>
    </xf>
    <xf numFmtId="164" fontId="1" fillId="0" borderId="3923" xfId="0" applyNumberFormat="1" applyFont="1" applyBorder="1" applyAlignment="1">
      <alignment horizontal="right"/>
    </xf>
    <xf numFmtId="164" fontId="1" fillId="0" borderId="3658" xfId="0" applyNumberFormat="1" applyFont="1" applyBorder="1" applyAlignment="1">
      <alignment horizontal="right"/>
    </xf>
    <xf numFmtId="164" fontId="1" fillId="0" borderId="3750" xfId="0" applyNumberFormat="1" applyFont="1" applyBorder="1" applyAlignment="1">
      <alignment horizontal="right"/>
    </xf>
    <xf numFmtId="164" fontId="1" fillId="0" borderId="3834" xfId="0" applyNumberFormat="1" applyFont="1" applyBorder="1" applyAlignment="1">
      <alignment horizontal="right"/>
    </xf>
    <xf numFmtId="164" fontId="1" fillId="0" borderId="3924" xfId="0" applyNumberFormat="1" applyFont="1" applyBorder="1" applyAlignment="1">
      <alignment horizontal="right"/>
    </xf>
    <xf numFmtId="164" fontId="1" fillId="0" borderId="3659" xfId="0" applyNumberFormat="1" applyFont="1" applyBorder="1" applyAlignment="1">
      <alignment horizontal="right"/>
    </xf>
    <xf numFmtId="164" fontId="1" fillId="0" borderId="3751" xfId="0" applyNumberFormat="1" applyFont="1" applyBorder="1" applyAlignment="1">
      <alignment horizontal="right"/>
    </xf>
    <xf numFmtId="164" fontId="1" fillId="0" borderId="3835" xfId="0" applyNumberFormat="1" applyFont="1" applyBorder="1" applyAlignment="1">
      <alignment horizontal="right"/>
    </xf>
    <xf numFmtId="164" fontId="1" fillId="0" borderId="3925" xfId="0" applyNumberFormat="1" applyFont="1" applyBorder="1" applyAlignment="1">
      <alignment horizontal="right"/>
    </xf>
    <xf numFmtId="164" fontId="1" fillId="0" borderId="3660" xfId="0" applyNumberFormat="1" applyFont="1" applyBorder="1" applyAlignment="1">
      <alignment horizontal="right"/>
    </xf>
    <xf numFmtId="164" fontId="1" fillId="0" borderId="3752" xfId="0" applyNumberFormat="1" applyFont="1" applyBorder="1" applyAlignment="1">
      <alignment horizontal="right"/>
    </xf>
    <xf numFmtId="164" fontId="1" fillId="0" borderId="3836" xfId="0" applyNumberFormat="1" applyFont="1" applyBorder="1" applyAlignment="1">
      <alignment horizontal="right"/>
    </xf>
    <xf numFmtId="164" fontId="1" fillId="0" borderId="3926" xfId="0" applyNumberFormat="1" applyFont="1" applyBorder="1" applyAlignment="1">
      <alignment horizontal="right"/>
    </xf>
    <xf numFmtId="164" fontId="1" fillId="0" borderId="3661" xfId="0" applyNumberFormat="1" applyFont="1" applyBorder="1" applyAlignment="1">
      <alignment horizontal="right"/>
    </xf>
    <xf numFmtId="164" fontId="1" fillId="0" borderId="3753" xfId="0" applyNumberFormat="1" applyFont="1" applyBorder="1" applyAlignment="1">
      <alignment horizontal="right"/>
    </xf>
    <xf numFmtId="164" fontId="1" fillId="0" borderId="3837" xfId="0" applyNumberFormat="1" applyFont="1" applyBorder="1" applyAlignment="1">
      <alignment horizontal="right"/>
    </xf>
    <xf numFmtId="164" fontId="1" fillId="0" borderId="3927" xfId="0" applyNumberFormat="1" applyFont="1" applyBorder="1" applyAlignment="1">
      <alignment horizontal="right"/>
    </xf>
    <xf numFmtId="164" fontId="1" fillId="0" borderId="3662" xfId="0" applyNumberFormat="1" applyFont="1" applyBorder="1" applyAlignment="1">
      <alignment horizontal="right"/>
    </xf>
    <xf numFmtId="164" fontId="1" fillId="0" borderId="3754" xfId="0" applyNumberFormat="1" applyFont="1" applyBorder="1" applyAlignment="1">
      <alignment horizontal="right"/>
    </xf>
    <xf numFmtId="164" fontId="1" fillId="0" borderId="3838" xfId="0" applyNumberFormat="1" applyFont="1" applyBorder="1" applyAlignment="1">
      <alignment horizontal="right"/>
    </xf>
    <xf numFmtId="164" fontId="1" fillId="0" borderId="3928" xfId="0" applyNumberFormat="1" applyFont="1" applyBorder="1" applyAlignment="1">
      <alignment horizontal="right"/>
    </xf>
    <xf numFmtId="164" fontId="3376" fillId="0" borderId="3663" xfId="0" applyNumberFormat="1" applyFont="1" applyBorder="1" applyAlignment="1">
      <alignment horizontal="right"/>
    </xf>
    <xf numFmtId="164" fontId="3461" fillId="0" borderId="3755" xfId="0" applyNumberFormat="1" applyFont="1" applyBorder="1" applyAlignment="1">
      <alignment horizontal="right"/>
    </xf>
    <xf numFmtId="164" fontId="3538" fillId="0" borderId="3839" xfId="0" applyNumberFormat="1" applyFont="1" applyBorder="1" applyAlignment="1">
      <alignment horizontal="right"/>
    </xf>
    <xf numFmtId="164" fontId="3621" fillId="0" borderId="3929" xfId="0" applyNumberFormat="1" applyFont="1" applyBorder="1" applyAlignment="1">
      <alignment horizontal="right"/>
    </xf>
    <xf numFmtId="164" fontId="3304" fillId="0" borderId="3584" xfId="0" applyNumberFormat="1" applyFont="1" applyBorder="1" applyAlignment="1">
      <alignment horizontal="right"/>
    </xf>
    <xf numFmtId="164" fontId="3389" fillId="0" borderId="3676" xfId="0" applyNumberFormat="1" applyFont="1" applyBorder="1" applyAlignment="1">
      <alignment horizontal="right"/>
    </xf>
    <xf numFmtId="164" fontId="3474" fillId="0" borderId="3768" xfId="0" applyNumberFormat="1" applyFont="1" applyBorder="1" applyAlignment="1">
      <alignment horizontal="right"/>
    </xf>
    <xf numFmtId="164" fontId="3549" fillId="0" borderId="3850" xfId="0" applyNumberFormat="1" applyFont="1" applyBorder="1" applyAlignment="1">
      <alignment horizontal="right"/>
    </xf>
    <xf numFmtId="164" fontId="3382" fillId="0" borderId="3669" xfId="0" applyNumberFormat="1" applyFont="1" applyBorder="1" applyAlignment="1">
      <alignment horizontal="right"/>
    </xf>
    <xf numFmtId="164" fontId="3467" fillId="0" borderId="3761" xfId="0" applyNumberFormat="1" applyFont="1" applyBorder="1" applyAlignment="1">
      <alignment horizontal="right"/>
    </xf>
    <xf numFmtId="164" fontId="3542" fillId="0" borderId="3843" xfId="0" applyNumberFormat="1" applyFont="1" applyBorder="1" applyAlignment="1">
      <alignment horizontal="right"/>
    </xf>
    <xf numFmtId="164" fontId="3627" fillId="0" borderId="3935" xfId="0" applyNumberFormat="1" applyFont="1" applyBorder="1" applyAlignment="1">
      <alignment horizontal="right"/>
    </xf>
    <xf numFmtId="164" fontId="3383" fillId="0" borderId="3670" xfId="0" applyNumberFormat="1" applyFont="1" applyBorder="1" applyAlignment="1">
      <alignment horizontal="right"/>
    </xf>
    <xf numFmtId="164" fontId="3468" fillId="0" borderId="3762" xfId="0" applyNumberFormat="1" applyFont="1" applyBorder="1" applyAlignment="1">
      <alignment horizontal="right"/>
    </xf>
    <xf numFmtId="164" fontId="3543" fillId="0" borderId="3844" xfId="0" applyNumberFormat="1" applyFont="1" applyBorder="1" applyAlignment="1">
      <alignment horizontal="right"/>
    </xf>
    <xf numFmtId="164" fontId="3628" fillId="0" borderId="3936" xfId="0" applyNumberFormat="1" applyFont="1" applyBorder="1" applyAlignment="1">
      <alignment horizontal="right"/>
    </xf>
    <xf numFmtId="164" fontId="3384" fillId="0" borderId="3671" xfId="0" applyNumberFormat="1" applyFont="1" applyBorder="1" applyAlignment="1">
      <alignment horizontal="right"/>
    </xf>
    <xf numFmtId="164" fontId="3469" fillId="0" borderId="3763" xfId="0" applyNumberFormat="1" applyFont="1" applyBorder="1" applyAlignment="1">
      <alignment horizontal="right"/>
    </xf>
    <xf numFmtId="164" fontId="3544" fillId="0" borderId="3845" xfId="0" applyNumberFormat="1" applyFont="1" applyBorder="1" applyAlignment="1">
      <alignment horizontal="right"/>
    </xf>
    <xf numFmtId="164" fontId="3629" fillId="0" borderId="3937" xfId="0" applyNumberFormat="1" applyFont="1" applyBorder="1" applyAlignment="1">
      <alignment horizontal="right"/>
    </xf>
    <xf numFmtId="164" fontId="3385" fillId="0" borderId="3672" xfId="0" applyNumberFormat="1" applyFont="1" applyBorder="1" applyAlignment="1">
      <alignment horizontal="right"/>
    </xf>
    <xf numFmtId="164" fontId="3470" fillId="0" borderId="3764" xfId="0" applyNumberFormat="1" applyFont="1" applyBorder="1" applyAlignment="1">
      <alignment horizontal="right"/>
    </xf>
    <xf numFmtId="164" fontId="3545" fillId="0" borderId="3846" xfId="0" applyNumberFormat="1" applyFont="1" applyBorder="1" applyAlignment="1">
      <alignment horizontal="right"/>
    </xf>
    <xf numFmtId="164" fontId="3630" fillId="0" borderId="3938" xfId="0" applyNumberFormat="1" applyFont="1" applyBorder="1" applyAlignment="1">
      <alignment horizontal="right"/>
    </xf>
    <xf numFmtId="164" fontId="3305" fillId="0" borderId="3585" xfId="0" applyNumberFormat="1" applyFont="1" applyBorder="1" applyAlignment="1">
      <alignment horizontal="right"/>
    </xf>
    <xf numFmtId="164" fontId="3390" fillId="0" borderId="3677" xfId="0" applyNumberFormat="1" applyFont="1" applyBorder="1" applyAlignment="1">
      <alignment horizontal="right"/>
    </xf>
    <xf numFmtId="164" fontId="3475" fillId="0" borderId="3769" xfId="0" applyNumberFormat="1" applyFont="1" applyBorder="1" applyAlignment="1">
      <alignment horizontal="right"/>
    </xf>
    <xf numFmtId="164" fontId="3550" fillId="0" borderId="3851" xfId="0" applyNumberFormat="1" applyFont="1" applyBorder="1" applyAlignment="1">
      <alignment horizontal="right"/>
    </xf>
    <xf numFmtId="164" fontId="5488" fillId="0" borderId="5824" xfId="0" applyNumberFormat="1" applyFont="1" applyBorder="1" applyAlignment="1">
      <alignment horizontal="right"/>
    </xf>
    <xf numFmtId="164" fontId="5527" fillId="0" borderId="5863" xfId="0" applyNumberFormat="1" applyFont="1" applyBorder="1" applyAlignment="1">
      <alignment horizontal="right"/>
    </xf>
    <xf numFmtId="164" fontId="5564" fillId="0" borderId="5900" xfId="0" applyNumberFormat="1" applyFont="1" applyBorder="1" applyAlignment="1">
      <alignment horizontal="right"/>
    </xf>
    <xf numFmtId="164" fontId="5601" fillId="0" borderId="5937" xfId="0" applyNumberFormat="1" applyFont="1" applyBorder="1" applyAlignment="1">
      <alignment horizontal="right"/>
    </xf>
    <xf numFmtId="164" fontId="5489" fillId="0" borderId="5825" xfId="0" applyNumberFormat="1" applyFont="1" applyBorder="1" applyAlignment="1">
      <alignment horizontal="right"/>
    </xf>
    <xf numFmtId="164" fontId="5528" fillId="0" borderId="5864" xfId="0" applyNumberFormat="1" applyFont="1" applyBorder="1" applyAlignment="1">
      <alignment horizontal="right"/>
    </xf>
    <xf numFmtId="164" fontId="5565" fillId="0" borderId="5901" xfId="0" applyNumberFormat="1" applyFont="1" applyBorder="1" applyAlignment="1">
      <alignment horizontal="right"/>
    </xf>
    <xf numFmtId="164" fontId="5602" fillId="0" borderId="5938" xfId="0" applyNumberFormat="1" applyFont="1" applyBorder="1" applyAlignment="1">
      <alignment horizontal="right"/>
    </xf>
    <xf numFmtId="164" fontId="5490" fillId="0" borderId="5826" xfId="0" applyNumberFormat="1" applyFont="1" applyBorder="1" applyAlignment="1">
      <alignment horizontal="right"/>
    </xf>
    <xf numFmtId="164" fontId="5529" fillId="0" borderId="5865" xfId="0" applyNumberFormat="1" applyFont="1" applyBorder="1" applyAlignment="1">
      <alignment horizontal="right"/>
    </xf>
    <xf numFmtId="164" fontId="5566" fillId="0" borderId="5902" xfId="0" applyNumberFormat="1" applyFont="1" applyBorder="1" applyAlignment="1">
      <alignment horizontal="right"/>
    </xf>
    <xf numFmtId="164" fontId="5603" fillId="0" borderId="5939" xfId="0" applyNumberFormat="1" applyFont="1" applyBorder="1" applyAlignment="1">
      <alignment horizontal="right"/>
    </xf>
    <xf numFmtId="164" fontId="5491" fillId="0" borderId="5827" xfId="0" applyNumberFormat="1" applyFont="1" applyBorder="1" applyAlignment="1">
      <alignment horizontal="right"/>
    </xf>
    <xf numFmtId="164" fontId="5530" fillId="0" borderId="5866" xfId="0" applyNumberFormat="1" applyFont="1" applyBorder="1" applyAlignment="1">
      <alignment horizontal="right"/>
    </xf>
    <xf numFmtId="164" fontId="5567" fillId="0" borderId="5903" xfId="0" applyNumberFormat="1" applyFont="1" applyBorder="1" applyAlignment="1">
      <alignment horizontal="right"/>
    </xf>
    <xf numFmtId="164" fontId="5604" fillId="0" borderId="5940" xfId="0" applyNumberFormat="1" applyFont="1" applyBorder="1" applyAlignment="1">
      <alignment horizontal="right"/>
    </xf>
    <xf numFmtId="164" fontId="5492" fillId="0" borderId="5828" xfId="0" applyNumberFormat="1" applyFont="1" applyBorder="1" applyAlignment="1">
      <alignment horizontal="right"/>
    </xf>
    <xf numFmtId="164" fontId="5531" fillId="0" borderId="5867" xfId="0" applyNumberFormat="1" applyFont="1" applyBorder="1" applyAlignment="1">
      <alignment horizontal="right"/>
    </xf>
    <xf numFmtId="164" fontId="5568" fillId="0" borderId="5904" xfId="0" applyNumberFormat="1" applyFont="1" applyBorder="1" applyAlignment="1">
      <alignment horizontal="right"/>
    </xf>
    <xf numFmtId="164" fontId="5605" fillId="0" borderId="5941" xfId="0" applyNumberFormat="1" applyFont="1" applyBorder="1" applyAlignment="1">
      <alignment horizontal="right"/>
    </xf>
    <xf numFmtId="164" fontId="5493" fillId="0" borderId="5829" xfId="0" applyNumberFormat="1" applyFont="1" applyBorder="1" applyAlignment="1">
      <alignment horizontal="right"/>
    </xf>
    <xf numFmtId="164" fontId="5532" fillId="0" borderId="5868" xfId="0" applyNumberFormat="1" applyFont="1" applyBorder="1" applyAlignment="1">
      <alignment horizontal="right"/>
    </xf>
    <xf numFmtId="164" fontId="5569" fillId="0" borderId="5905" xfId="0" applyNumberFormat="1" applyFont="1" applyBorder="1" applyAlignment="1">
      <alignment horizontal="right"/>
    </xf>
    <xf numFmtId="164" fontId="5606" fillId="0" borderId="5942" xfId="0" applyNumberFormat="1" applyFont="1" applyBorder="1" applyAlignment="1">
      <alignment horizontal="right"/>
    </xf>
    <xf numFmtId="164" fontId="5494" fillId="0" borderId="5830" xfId="0" applyNumberFormat="1" applyFont="1" applyBorder="1" applyAlignment="1">
      <alignment horizontal="right"/>
    </xf>
    <xf numFmtId="164" fontId="5533" fillId="0" borderId="5869" xfId="0" applyNumberFormat="1" applyFont="1" applyBorder="1" applyAlignment="1">
      <alignment horizontal="right"/>
    </xf>
    <xf numFmtId="164" fontId="5570" fillId="0" borderId="5906" xfId="0" applyNumberFormat="1" applyFont="1" applyBorder="1" applyAlignment="1">
      <alignment horizontal="right"/>
    </xf>
    <xf numFmtId="164" fontId="5607" fillId="0" borderId="5943" xfId="0" applyNumberFormat="1" applyFont="1" applyBorder="1" applyAlignment="1">
      <alignment horizontal="right"/>
    </xf>
    <xf numFmtId="164" fontId="5495" fillId="0" borderId="5831" xfId="0" applyNumberFormat="1" applyFont="1" applyBorder="1" applyAlignment="1">
      <alignment horizontal="right"/>
    </xf>
    <xf numFmtId="164" fontId="5534" fillId="0" borderId="5870" xfId="0" applyNumberFormat="1" applyFont="1" applyBorder="1" applyAlignment="1">
      <alignment horizontal="right"/>
    </xf>
    <xf numFmtId="164" fontId="5571" fillId="0" borderId="5907" xfId="0" applyNumberFormat="1" applyFont="1" applyBorder="1" applyAlignment="1">
      <alignment horizontal="right"/>
    </xf>
    <xf numFmtId="164" fontId="5608" fillId="0" borderId="5944" xfId="0" applyNumberFormat="1" applyFont="1" applyBorder="1" applyAlignment="1">
      <alignment horizontal="right"/>
    </xf>
    <xf numFmtId="164" fontId="5496" fillId="0" borderId="5832" xfId="0" applyNumberFormat="1" applyFont="1" applyBorder="1" applyAlignment="1">
      <alignment horizontal="right"/>
    </xf>
    <xf numFmtId="164" fontId="5535" fillId="0" borderId="5871" xfId="0" applyNumberFormat="1" applyFont="1" applyBorder="1" applyAlignment="1">
      <alignment horizontal="right"/>
    </xf>
    <xf numFmtId="164" fontId="5572" fillId="0" borderId="5908" xfId="0" applyNumberFormat="1" applyFont="1" applyBorder="1" applyAlignment="1">
      <alignment horizontal="right"/>
    </xf>
    <xf numFmtId="164" fontId="5609" fillId="0" borderId="5945" xfId="0" applyNumberFormat="1" applyFont="1" applyBorder="1" applyAlignment="1">
      <alignment horizontal="right"/>
    </xf>
    <xf numFmtId="164" fontId="5497" fillId="0" borderId="5833" xfId="0" applyNumberFormat="1" applyFont="1" applyBorder="1" applyAlignment="1">
      <alignment horizontal="right"/>
    </xf>
    <xf numFmtId="164" fontId="5536" fillId="0" borderId="5872" xfId="0" applyNumberFormat="1" applyFont="1" applyBorder="1" applyAlignment="1">
      <alignment horizontal="right"/>
    </xf>
    <xf numFmtId="164" fontId="5573" fillId="0" borderId="5909" xfId="0" applyNumberFormat="1" applyFont="1" applyBorder="1" applyAlignment="1">
      <alignment horizontal="right"/>
    </xf>
    <xf numFmtId="164" fontId="5610" fillId="0" borderId="5946" xfId="0" applyNumberFormat="1" applyFont="1" applyBorder="1" applyAlignment="1">
      <alignment horizontal="right"/>
    </xf>
    <xf numFmtId="164" fontId="5498" fillId="0" borderId="5834" xfId="0" applyNumberFormat="1" applyFont="1" applyBorder="1" applyAlignment="1">
      <alignment horizontal="right"/>
    </xf>
    <xf numFmtId="164" fontId="5537" fillId="0" borderId="5873" xfId="0" applyNumberFormat="1" applyFont="1" applyBorder="1" applyAlignment="1">
      <alignment horizontal="right"/>
    </xf>
    <xf numFmtId="164" fontId="5574" fillId="0" borderId="5910" xfId="0" applyNumberFormat="1" applyFont="1" applyBorder="1" applyAlignment="1">
      <alignment horizontal="right"/>
    </xf>
    <xf numFmtId="164" fontId="5611" fillId="0" borderId="5947" xfId="0" applyNumberFormat="1" applyFont="1" applyBorder="1" applyAlignment="1">
      <alignment horizontal="right"/>
    </xf>
    <xf numFmtId="164" fontId="5499" fillId="0" borderId="5835" xfId="0" applyNumberFormat="1" applyFont="1" applyBorder="1" applyAlignment="1">
      <alignment horizontal="right"/>
    </xf>
    <xf numFmtId="164" fontId="5538" fillId="0" borderId="5874" xfId="0" applyNumberFormat="1" applyFont="1" applyBorder="1" applyAlignment="1">
      <alignment horizontal="right"/>
    </xf>
    <xf numFmtId="164" fontId="5575" fillId="0" borderId="5911" xfId="0" applyNumberFormat="1" applyFont="1" applyBorder="1" applyAlignment="1">
      <alignment horizontal="right"/>
    </xf>
    <xf numFmtId="164" fontId="5612" fillId="0" borderId="5948" xfId="0" applyNumberFormat="1" applyFont="1" applyBorder="1" applyAlignment="1">
      <alignment horizontal="right"/>
    </xf>
    <xf numFmtId="164" fontId="5500" fillId="0" borderId="5836" xfId="0" applyNumberFormat="1" applyFont="1" applyBorder="1" applyAlignment="1">
      <alignment horizontal="right"/>
    </xf>
    <xf numFmtId="164" fontId="5539" fillId="0" borderId="5875" xfId="0" applyNumberFormat="1" applyFont="1" applyBorder="1" applyAlignment="1">
      <alignment horizontal="right"/>
    </xf>
    <xf numFmtId="164" fontId="5576" fillId="0" borderId="5912" xfId="0" applyNumberFormat="1" applyFont="1" applyBorder="1" applyAlignment="1">
      <alignment horizontal="right"/>
    </xf>
    <xf numFmtId="164" fontId="5613" fillId="0" borderId="5949" xfId="0" applyNumberFormat="1" applyFont="1" applyBorder="1" applyAlignment="1">
      <alignment horizontal="right"/>
    </xf>
    <xf numFmtId="164" fontId="5481" fillId="0" borderId="5817" xfId="0" applyNumberFormat="1" applyFont="1" applyBorder="1" applyAlignment="1">
      <alignment horizontal="right"/>
    </xf>
    <xf numFmtId="164" fontId="5520" fillId="0" borderId="5856" xfId="0" applyNumberFormat="1" applyFont="1" applyBorder="1" applyAlignment="1">
      <alignment horizontal="right"/>
    </xf>
    <xf numFmtId="164" fontId="5559" fillId="0" borderId="5895" xfId="0" applyNumberFormat="1" applyFont="1" applyBorder="1" applyAlignment="1">
      <alignment horizontal="right"/>
    </xf>
    <xf numFmtId="164" fontId="5594" fillId="0" borderId="5930" xfId="0" applyNumberFormat="1" applyFont="1" applyBorder="1" applyAlignment="1">
      <alignment horizontal="right"/>
    </xf>
    <xf numFmtId="164" fontId="5506" fillId="0" borderId="5842" xfId="0" applyNumberFormat="1" applyFont="1" applyBorder="1" applyAlignment="1">
      <alignment horizontal="right"/>
    </xf>
    <xf numFmtId="164" fontId="5545" fillId="0" borderId="5881" xfId="0" applyNumberFormat="1" applyFont="1" applyBorder="1" applyAlignment="1">
      <alignment horizontal="right"/>
    </xf>
    <xf numFmtId="164" fontId="5580" fillId="0" borderId="5916" xfId="0" applyNumberFormat="1" applyFont="1" applyBorder="1" applyAlignment="1">
      <alignment horizontal="right"/>
    </xf>
    <xf numFmtId="164" fontId="5619" fillId="0" borderId="5955" xfId="0" applyNumberFormat="1" applyFont="1" applyBorder="1" applyAlignment="1">
      <alignment horizontal="right"/>
    </xf>
    <xf numFmtId="164" fontId="5507" fillId="0" borderId="5843" xfId="0" applyNumberFormat="1" applyFont="1" applyBorder="1" applyAlignment="1">
      <alignment horizontal="right"/>
    </xf>
    <xf numFmtId="164" fontId="5546" fillId="0" borderId="5882" xfId="0" applyNumberFormat="1" applyFont="1" applyBorder="1" applyAlignment="1">
      <alignment horizontal="right"/>
    </xf>
    <xf numFmtId="164" fontId="5581" fillId="0" borderId="5917" xfId="0" applyNumberFormat="1" applyFont="1" applyBorder="1" applyAlignment="1">
      <alignment horizontal="right"/>
    </xf>
    <xf numFmtId="164" fontId="5620" fillId="0" borderId="5956" xfId="0" applyNumberFormat="1" applyFont="1" applyBorder="1" applyAlignment="1">
      <alignment horizontal="right"/>
    </xf>
    <xf numFmtId="164" fontId="5508" fillId="0" borderId="5844" xfId="0" applyNumberFormat="1" applyFont="1" applyBorder="1" applyAlignment="1">
      <alignment horizontal="right"/>
    </xf>
    <xf numFmtId="164" fontId="5547" fillId="0" borderId="5883" xfId="0" applyNumberFormat="1" applyFont="1" applyBorder="1" applyAlignment="1">
      <alignment horizontal="right"/>
    </xf>
    <xf numFmtId="164" fontId="5582" fillId="0" borderId="5918" xfId="0" applyNumberFormat="1" applyFont="1" applyBorder="1" applyAlignment="1">
      <alignment horizontal="right"/>
    </xf>
    <xf numFmtId="164" fontId="5621" fillId="0" borderId="5957" xfId="0" applyNumberFormat="1" applyFont="1" applyBorder="1" applyAlignment="1">
      <alignment horizontal="right"/>
    </xf>
    <xf numFmtId="164" fontId="5509" fillId="0" borderId="5845" xfId="0" applyNumberFormat="1" applyFont="1" applyBorder="1" applyAlignment="1">
      <alignment horizontal="right"/>
    </xf>
    <xf numFmtId="164" fontId="5548" fillId="0" borderId="5884" xfId="0" applyNumberFormat="1" applyFont="1" applyBorder="1" applyAlignment="1">
      <alignment horizontal="right"/>
    </xf>
    <xf numFmtId="164" fontId="5583" fillId="0" borderId="5919" xfId="0" applyNumberFormat="1" applyFont="1" applyBorder="1" applyAlignment="1">
      <alignment horizontal="right"/>
    </xf>
    <xf numFmtId="164" fontId="5622" fillId="0" borderId="5958" xfId="0" applyNumberFormat="1" applyFont="1" applyBorder="1" applyAlignment="1">
      <alignment horizontal="right"/>
    </xf>
    <xf numFmtId="164" fontId="5510" fillId="0" borderId="5846" xfId="0" applyNumberFormat="1" applyFont="1" applyBorder="1" applyAlignment="1">
      <alignment horizontal="right"/>
    </xf>
    <xf numFmtId="164" fontId="5549" fillId="0" borderId="5885" xfId="0" applyNumberFormat="1" applyFont="1" applyBorder="1" applyAlignment="1">
      <alignment horizontal="right"/>
    </xf>
    <xf numFmtId="164" fontId="5584" fillId="0" borderId="5920" xfId="0" applyNumberFormat="1" applyFont="1" applyBorder="1" applyAlignment="1">
      <alignment horizontal="right"/>
    </xf>
    <xf numFmtId="164" fontId="5623" fillId="0" borderId="5959" xfId="0" applyNumberFormat="1" applyFont="1" applyBorder="1" applyAlignment="1">
      <alignment horizontal="right"/>
    </xf>
    <xf numFmtId="164" fontId="5511" fillId="0" borderId="5847" xfId="0" applyNumberFormat="1" applyFont="1" applyBorder="1" applyAlignment="1">
      <alignment horizontal="right"/>
    </xf>
    <xf numFmtId="164" fontId="5550" fillId="0" borderId="5886" xfId="0" applyNumberFormat="1" applyFont="1" applyBorder="1" applyAlignment="1">
      <alignment horizontal="right"/>
    </xf>
    <xf numFmtId="164" fontId="5585" fillId="0" borderId="5921" xfId="0" applyNumberFormat="1" applyFont="1" applyBorder="1" applyAlignment="1">
      <alignment horizontal="right"/>
    </xf>
    <xf numFmtId="164" fontId="5624" fillId="0" borderId="5960" xfId="0" applyNumberFormat="1" applyFont="1" applyBorder="1" applyAlignment="1">
      <alignment horizontal="right"/>
    </xf>
    <xf numFmtId="164" fontId="5512" fillId="0" borderId="5848" xfId="0" applyNumberFormat="1" applyFont="1" applyBorder="1" applyAlignment="1">
      <alignment horizontal="right"/>
    </xf>
    <xf numFmtId="164" fontId="5551" fillId="0" borderId="5887" xfId="0" applyNumberFormat="1" applyFont="1" applyBorder="1" applyAlignment="1">
      <alignment horizontal="right"/>
    </xf>
    <xf numFmtId="164" fontId="5586" fillId="0" borderId="5922" xfId="0" applyNumberFormat="1" applyFont="1" applyBorder="1" applyAlignment="1">
      <alignment horizontal="right"/>
    </xf>
    <xf numFmtId="164" fontId="5625" fillId="0" borderId="5961" xfId="0" applyNumberFormat="1" applyFont="1" applyBorder="1" applyAlignment="1">
      <alignment horizontal="right"/>
    </xf>
    <xf numFmtId="164" fontId="5513" fillId="0" borderId="5849" xfId="0" applyNumberFormat="1" applyFont="1" applyBorder="1" applyAlignment="1">
      <alignment horizontal="right"/>
    </xf>
    <xf numFmtId="164" fontId="5552" fillId="0" borderId="5888" xfId="0" applyNumberFormat="1" applyFont="1" applyBorder="1" applyAlignment="1">
      <alignment horizontal="right"/>
    </xf>
    <xf numFmtId="164" fontId="5587" fillId="0" borderId="5923" xfId="0" applyNumberFormat="1" applyFont="1" applyBorder="1" applyAlignment="1">
      <alignment horizontal="right"/>
    </xf>
    <xf numFmtId="164" fontId="5626" fillId="0" borderId="5962" xfId="0" applyNumberFormat="1" applyFont="1" applyBorder="1" applyAlignment="1">
      <alignment horizontal="right"/>
    </xf>
    <xf numFmtId="164" fontId="5514" fillId="0" borderId="5850" xfId="0" applyNumberFormat="1" applyFont="1" applyBorder="1" applyAlignment="1">
      <alignment horizontal="right"/>
    </xf>
    <xf numFmtId="164" fontId="5553" fillId="0" borderId="5889" xfId="0" applyNumberFormat="1" applyFont="1" applyBorder="1" applyAlignment="1">
      <alignment horizontal="right"/>
    </xf>
    <xf numFmtId="164" fontId="5588" fillId="0" borderId="5924" xfId="0" applyNumberFormat="1" applyFont="1" applyBorder="1" applyAlignment="1">
      <alignment horizontal="right"/>
    </xf>
    <xf numFmtId="164" fontId="5627" fillId="0" borderId="5963" xfId="0" applyNumberFormat="1" applyFont="1" applyBorder="1" applyAlignment="1">
      <alignment horizontal="right"/>
    </xf>
    <xf numFmtId="164" fontId="5515" fillId="0" borderId="5851" xfId="0" applyNumberFormat="1" applyFont="1" applyBorder="1" applyAlignment="1">
      <alignment horizontal="right"/>
    </xf>
    <xf numFmtId="164" fontId="5554" fillId="0" borderId="5890" xfId="0" applyNumberFormat="1" applyFont="1" applyBorder="1" applyAlignment="1">
      <alignment horizontal="right"/>
    </xf>
    <xf numFmtId="164" fontId="5589" fillId="0" borderId="5925" xfId="0" applyNumberFormat="1" applyFont="1" applyBorder="1" applyAlignment="1">
      <alignment horizontal="right"/>
    </xf>
    <xf numFmtId="164" fontId="5628" fillId="0" borderId="5964" xfId="0" applyNumberFormat="1" applyFont="1" applyBorder="1" applyAlignment="1">
      <alignment horizontal="right"/>
    </xf>
    <xf numFmtId="164" fontId="5516" fillId="0" borderId="5852" xfId="0" applyNumberFormat="1" applyFont="1" applyBorder="1" applyAlignment="1">
      <alignment horizontal="right"/>
    </xf>
    <xf numFmtId="164" fontId="5555" fillId="0" borderId="5891" xfId="0" applyNumberFormat="1" applyFont="1" applyBorder="1" applyAlignment="1">
      <alignment horizontal="right"/>
    </xf>
    <xf numFmtId="164" fontId="5590" fillId="0" borderId="5926" xfId="0" applyNumberFormat="1" applyFont="1" applyBorder="1" applyAlignment="1">
      <alignment horizontal="right"/>
    </xf>
    <xf numFmtId="164" fontId="5629" fillId="0" borderId="5965" xfId="0" applyNumberFormat="1" applyFont="1" applyBorder="1" applyAlignment="1">
      <alignment horizontal="right"/>
    </xf>
    <xf numFmtId="164" fontId="5517" fillId="0" borderId="5853" xfId="0" applyNumberFormat="1" applyFont="1" applyBorder="1" applyAlignment="1">
      <alignment horizontal="right"/>
    </xf>
    <xf numFmtId="164" fontId="5556" fillId="0" borderId="5892" xfId="0" applyNumberFormat="1" applyFont="1" applyBorder="1" applyAlignment="1">
      <alignment horizontal="right"/>
    </xf>
    <xf numFmtId="164" fontId="5591" fillId="0" borderId="5927" xfId="0" applyNumberFormat="1" applyFont="1" applyBorder="1" applyAlignment="1">
      <alignment horizontal="right"/>
    </xf>
    <xf numFmtId="164" fontId="5630" fillId="0" borderId="5966" xfId="0" applyNumberFormat="1" applyFont="1" applyBorder="1" applyAlignment="1">
      <alignment horizontal="right"/>
    </xf>
    <xf numFmtId="164" fontId="5518" fillId="0" borderId="5854" xfId="0" applyNumberFormat="1" applyFont="1" applyBorder="1" applyAlignment="1">
      <alignment horizontal="right"/>
    </xf>
    <xf numFmtId="164" fontId="5557" fillId="0" borderId="5893" xfId="0" applyNumberFormat="1" applyFont="1" applyBorder="1" applyAlignment="1">
      <alignment horizontal="right"/>
    </xf>
    <xf numFmtId="164" fontId="5592" fillId="0" borderId="5928" xfId="0" applyNumberFormat="1" applyFont="1" applyBorder="1" applyAlignment="1">
      <alignment horizontal="right"/>
    </xf>
    <xf numFmtId="164" fontId="5631" fillId="0" borderId="5967" xfId="0" applyNumberFormat="1" applyFont="1" applyBorder="1" applyAlignment="1">
      <alignment horizontal="right"/>
    </xf>
    <xf numFmtId="164" fontId="5519" fillId="0" borderId="5855" xfId="0" applyNumberFormat="1" applyFont="1" applyBorder="1" applyAlignment="1">
      <alignment horizontal="right"/>
    </xf>
    <xf numFmtId="164" fontId="5558" fillId="0" borderId="5894" xfId="0" applyNumberFormat="1" applyFont="1" applyBorder="1" applyAlignment="1">
      <alignment horizontal="right"/>
    </xf>
    <xf numFmtId="164" fontId="5593" fillId="0" borderId="5929" xfId="0" applyNumberFormat="1" applyFont="1" applyBorder="1" applyAlignment="1">
      <alignment horizontal="right"/>
    </xf>
    <xf numFmtId="164" fontId="5632" fillId="0" borderId="5968" xfId="0" applyNumberFormat="1" applyFont="1" applyBorder="1" applyAlignment="1">
      <alignment horizontal="right"/>
    </xf>
    <xf numFmtId="164" fontId="5482" fillId="0" borderId="5818" xfId="0" applyNumberFormat="1" applyFont="1" applyBorder="1" applyAlignment="1">
      <alignment horizontal="right"/>
    </xf>
    <xf numFmtId="164" fontId="5521" fillId="0" borderId="5857" xfId="0" applyNumberFormat="1" applyFont="1" applyBorder="1" applyAlignment="1">
      <alignment horizontal="right"/>
    </xf>
    <xf numFmtId="164" fontId="5560" fillId="0" borderId="5896" xfId="0" applyNumberFormat="1" applyFont="1" applyBorder="1" applyAlignment="1">
      <alignment horizontal="right"/>
    </xf>
    <xf numFmtId="164" fontId="5595" fillId="0" borderId="5931" xfId="0" applyNumberFormat="1" applyFont="1" applyBorder="1" applyAlignment="1">
      <alignment horizontal="right"/>
    </xf>
    <xf numFmtId="164" fontId="2981" fillId="0" borderId="3233" xfId="0" applyNumberFormat="1" applyFont="1" applyBorder="1" applyAlignment="1">
      <alignment horizontal="right"/>
    </xf>
    <xf numFmtId="164" fontId="3066" fillId="0" borderId="3325" xfId="0" applyNumberFormat="1" applyFont="1" applyBorder="1" applyAlignment="1">
      <alignment horizontal="right"/>
    </xf>
    <xf numFmtId="164" fontId="3149" fillId="0" borderId="3415" xfId="0" applyNumberFormat="1" applyFont="1" applyBorder="1" applyAlignment="1">
      <alignment horizontal="right"/>
    </xf>
    <xf numFmtId="164" fontId="3226" fillId="0" borderId="3499" xfId="0" applyNumberFormat="1" applyFont="1" applyBorder="1" applyAlignment="1">
      <alignment horizontal="right"/>
    </xf>
    <xf numFmtId="164" fontId="2982" fillId="0" borderId="3234" xfId="0" applyNumberFormat="1" applyFont="1" applyBorder="1" applyAlignment="1">
      <alignment horizontal="right"/>
    </xf>
    <xf numFmtId="164" fontId="3067" fillId="0" borderId="3326" xfId="0" applyNumberFormat="1" applyFont="1" applyBorder="1" applyAlignment="1">
      <alignment horizontal="right"/>
    </xf>
    <xf numFmtId="164" fontId="3150" fillId="0" borderId="3416" xfId="0" applyNumberFormat="1" applyFont="1" applyBorder="1" applyAlignment="1">
      <alignment horizontal="right"/>
    </xf>
    <xf numFmtId="164" fontId="3227" fillId="0" borderId="3500" xfId="0" applyNumberFormat="1" applyFont="1" applyBorder="1" applyAlignment="1">
      <alignment horizontal="right"/>
    </xf>
    <xf numFmtId="164" fontId="2983" fillId="0" borderId="3235" xfId="0" applyNumberFormat="1" applyFont="1" applyBorder="1" applyAlignment="1">
      <alignment horizontal="right"/>
    </xf>
    <xf numFmtId="164" fontId="3068" fillId="0" borderId="3327" xfId="0" applyNumberFormat="1" applyFont="1" applyBorder="1" applyAlignment="1">
      <alignment horizontal="right"/>
    </xf>
    <xf numFmtId="164" fontId="3151" fillId="0" borderId="3417" xfId="0" applyNumberFormat="1" applyFont="1" applyBorder="1" applyAlignment="1">
      <alignment horizontal="right"/>
    </xf>
    <xf numFmtId="164" fontId="3228" fillId="0" borderId="3501" xfId="0" applyNumberFormat="1" applyFont="1" applyBorder="1" applyAlignment="1">
      <alignment horizontal="right"/>
    </xf>
    <xf numFmtId="164" fontId="2984" fillId="0" borderId="3236" xfId="0" applyNumberFormat="1" applyFont="1" applyBorder="1" applyAlignment="1">
      <alignment horizontal="right"/>
    </xf>
    <xf numFmtId="164" fontId="3069" fillId="0" borderId="3328" xfId="0" applyNumberFormat="1" applyFont="1" applyBorder="1" applyAlignment="1">
      <alignment horizontal="right"/>
    </xf>
    <xf numFmtId="164" fontId="3152" fillId="0" borderId="3418" xfId="0" applyNumberFormat="1" applyFont="1" applyBorder="1" applyAlignment="1">
      <alignment horizontal="right"/>
    </xf>
    <xf numFmtId="164" fontId="3229" fillId="0" borderId="3502" xfId="0" applyNumberFormat="1" applyFont="1" applyBorder="1" applyAlignment="1">
      <alignment horizontal="right"/>
    </xf>
    <xf numFmtId="164" fontId="2985" fillId="0" borderId="3237" xfId="0" applyNumberFormat="1" applyFont="1" applyBorder="1" applyAlignment="1">
      <alignment horizontal="right"/>
    </xf>
    <xf numFmtId="164" fontId="3070" fillId="0" borderId="3329" xfId="0" applyNumberFormat="1" applyFont="1" applyBorder="1" applyAlignment="1">
      <alignment horizontal="right"/>
    </xf>
    <xf numFmtId="164" fontId="3153" fillId="0" borderId="3419" xfId="0" applyNumberFormat="1" applyFont="1" applyBorder="1" applyAlignment="1">
      <alignment horizontal="right"/>
    </xf>
    <xf numFmtId="164" fontId="3230" fillId="0" borderId="3503" xfId="0" applyNumberFormat="1" applyFont="1" applyBorder="1" applyAlignment="1">
      <alignment horizontal="right"/>
    </xf>
    <xf numFmtId="164" fontId="2986" fillId="0" borderId="3238" xfId="0" applyNumberFormat="1" applyFont="1" applyBorder="1" applyAlignment="1">
      <alignment horizontal="right"/>
    </xf>
    <xf numFmtId="164" fontId="3071" fillId="0" borderId="3330" xfId="0" applyNumberFormat="1" applyFont="1" applyBorder="1" applyAlignment="1">
      <alignment horizontal="right"/>
    </xf>
    <xf numFmtId="164" fontId="3154" fillId="0" borderId="3420" xfId="0" applyNumberFormat="1" applyFont="1" applyBorder="1" applyAlignment="1">
      <alignment horizontal="right"/>
    </xf>
    <xf numFmtId="164" fontId="3231" fillId="0" borderId="3504" xfId="0" applyNumberFormat="1" applyFont="1" applyBorder="1" applyAlignment="1">
      <alignment horizontal="right"/>
    </xf>
    <xf numFmtId="164" fontId="2987" fillId="0" borderId="3239" xfId="0" applyNumberFormat="1" applyFont="1" applyBorder="1" applyAlignment="1">
      <alignment horizontal="right"/>
    </xf>
    <xf numFmtId="164" fontId="3072" fillId="0" borderId="3331" xfId="0" applyNumberFormat="1" applyFont="1" applyBorder="1" applyAlignment="1">
      <alignment horizontal="right"/>
    </xf>
    <xf numFmtId="164" fontId="3155" fillId="0" borderId="3421" xfId="0" applyNumberFormat="1" applyFont="1" applyBorder="1" applyAlignment="1">
      <alignment horizontal="right"/>
    </xf>
    <xf numFmtId="164" fontId="3232" fillId="0" borderId="3505" xfId="0" applyNumberFormat="1" applyFont="1" applyBorder="1" applyAlignment="1">
      <alignment horizontal="right"/>
    </xf>
    <xf numFmtId="164" fontId="2988" fillId="0" borderId="3240" xfId="0" applyNumberFormat="1" applyFont="1" applyBorder="1" applyAlignment="1">
      <alignment horizontal="right"/>
    </xf>
    <xf numFmtId="164" fontId="3073" fillId="0" borderId="3332" xfId="0" applyNumberFormat="1" applyFont="1" applyBorder="1" applyAlignment="1">
      <alignment horizontal="right"/>
    </xf>
    <xf numFmtId="164" fontId="3156" fillId="0" borderId="3422" xfId="0" applyNumberFormat="1" applyFont="1" applyBorder="1" applyAlignment="1">
      <alignment horizontal="right"/>
    </xf>
    <xf numFmtId="164" fontId="3233" fillId="0" borderId="3506" xfId="0" applyNumberFormat="1" applyFont="1" applyBorder="1" applyAlignment="1">
      <alignment horizontal="right"/>
    </xf>
    <xf numFmtId="164" fontId="2989" fillId="0" borderId="3241" xfId="0" applyNumberFormat="1" applyFont="1" applyBorder="1" applyAlignment="1">
      <alignment horizontal="right"/>
    </xf>
    <xf numFmtId="164" fontId="3074" fillId="0" borderId="3333" xfId="0" applyNumberFormat="1" applyFont="1" applyBorder="1" applyAlignment="1">
      <alignment horizontal="right"/>
    </xf>
    <xf numFmtId="164" fontId="3157" fillId="0" borderId="3423" xfId="0" applyNumberFormat="1" applyFont="1" applyBorder="1" applyAlignment="1">
      <alignment horizontal="right"/>
    </xf>
    <xf numFmtId="164" fontId="3234" fillId="0" borderId="3507" xfId="0" applyNumberFormat="1" applyFont="1" applyBorder="1" applyAlignment="1">
      <alignment horizontal="right"/>
    </xf>
    <xf numFmtId="164" fontId="2990" fillId="0" borderId="3242" xfId="0" applyNumberFormat="1" applyFont="1" applyBorder="1" applyAlignment="1">
      <alignment horizontal="right"/>
    </xf>
    <xf numFmtId="164" fontId="3075" fillId="0" borderId="3334" xfId="0" applyNumberFormat="1" applyFont="1" applyBorder="1" applyAlignment="1">
      <alignment horizontal="right"/>
    </xf>
    <xf numFmtId="164" fontId="3158" fillId="0" borderId="3424" xfId="0" applyNumberFormat="1" applyFont="1" applyBorder="1" applyAlignment="1">
      <alignment horizontal="right"/>
    </xf>
    <xf numFmtId="164" fontId="3235" fillId="0" borderId="3508" xfId="0" applyNumberFormat="1" applyFont="1" applyBorder="1" applyAlignment="1">
      <alignment horizontal="right"/>
    </xf>
    <xf numFmtId="164" fontId="2991" fillId="0" borderId="3243" xfId="0" applyNumberFormat="1" applyFont="1" applyBorder="1" applyAlignment="1">
      <alignment horizontal="right"/>
    </xf>
    <xf numFmtId="164" fontId="3076" fillId="0" borderId="3335" xfId="0" applyNumberFormat="1" applyFont="1" applyBorder="1" applyAlignment="1">
      <alignment horizontal="right"/>
    </xf>
    <xf numFmtId="164" fontId="3159" fillId="0" borderId="3425" xfId="0" applyNumberFormat="1" applyFont="1" applyBorder="1" applyAlignment="1">
      <alignment horizontal="right"/>
    </xf>
    <xf numFmtId="164" fontId="3236" fillId="0" borderId="3509" xfId="0" applyNumberFormat="1" applyFont="1" applyBorder="1" applyAlignment="1">
      <alignment horizontal="right"/>
    </xf>
    <xf numFmtId="164" fontId="2992" fillId="0" borderId="3244" xfId="0" applyNumberFormat="1" applyFont="1" applyBorder="1" applyAlignment="1">
      <alignment horizontal="right"/>
    </xf>
    <xf numFmtId="164" fontId="3077" fillId="0" borderId="3336" xfId="0" applyNumberFormat="1" applyFont="1" applyBorder="1" applyAlignment="1">
      <alignment horizontal="right"/>
    </xf>
    <xf numFmtId="164" fontId="3160" fillId="0" borderId="3426" xfId="0" applyNumberFormat="1" applyFont="1" applyBorder="1" applyAlignment="1">
      <alignment horizontal="right"/>
    </xf>
    <xf numFmtId="164" fontId="3237" fillId="0" borderId="3510" xfId="0" applyNumberFormat="1" applyFont="1" applyBorder="1" applyAlignment="1">
      <alignment horizontal="right"/>
    </xf>
    <xf numFmtId="164" fontId="2993" fillId="0" borderId="3245" xfId="0" applyNumberFormat="1" applyFont="1" applyBorder="1" applyAlignment="1">
      <alignment horizontal="right"/>
    </xf>
    <xf numFmtId="164" fontId="3078" fillId="0" borderId="3337" xfId="0" applyNumberFormat="1" applyFont="1" applyBorder="1" applyAlignment="1">
      <alignment horizontal="right"/>
    </xf>
    <xf numFmtId="164" fontId="3161" fillId="0" borderId="3427" xfId="0" applyNumberFormat="1" applyFont="1" applyBorder="1" applyAlignment="1">
      <alignment horizontal="right"/>
    </xf>
    <xf numFmtId="164" fontId="3238" fillId="0" borderId="3511" xfId="0" applyNumberFormat="1" applyFont="1" applyBorder="1" applyAlignment="1">
      <alignment horizontal="right"/>
    </xf>
    <xf numFmtId="164" fontId="2994" fillId="0" borderId="3246" xfId="0" applyNumberFormat="1" applyFont="1" applyBorder="1" applyAlignment="1">
      <alignment horizontal="right"/>
    </xf>
    <xf numFmtId="164" fontId="3079" fillId="0" borderId="3338" xfId="0" applyNumberFormat="1" applyFont="1" applyBorder="1" applyAlignment="1">
      <alignment horizontal="right"/>
    </xf>
    <xf numFmtId="164" fontId="3162" fillId="0" borderId="3428" xfId="0" applyNumberFormat="1" applyFont="1" applyBorder="1" applyAlignment="1">
      <alignment horizontal="right"/>
    </xf>
    <xf numFmtId="164" fontId="3239" fillId="0" borderId="3512" xfId="0" applyNumberFormat="1" applyFont="1" applyBorder="1" applyAlignment="1">
      <alignment horizontal="right"/>
    </xf>
    <xf numFmtId="164" fontId="2995" fillId="0" borderId="3247" xfId="0" applyNumberFormat="1" applyFont="1" applyBorder="1" applyAlignment="1">
      <alignment horizontal="right"/>
    </xf>
    <xf numFmtId="164" fontId="3080" fillId="0" borderId="3339" xfId="0" applyNumberFormat="1" applyFont="1" applyBorder="1" applyAlignment="1">
      <alignment horizontal="right"/>
    </xf>
    <xf numFmtId="164" fontId="3163" fillId="0" borderId="3429" xfId="0" applyNumberFormat="1" applyFont="1" applyBorder="1" applyAlignment="1">
      <alignment horizontal="right"/>
    </xf>
    <xf numFmtId="164" fontId="3240" fillId="0" borderId="3513" xfId="0" applyNumberFormat="1" applyFont="1" applyBorder="1" applyAlignment="1">
      <alignment horizontal="right"/>
    </xf>
    <xf numFmtId="164" fontId="2971" fillId="0" borderId="3223" xfId="0" applyNumberFormat="1" applyFont="1" applyBorder="1" applyAlignment="1">
      <alignment horizontal="right"/>
    </xf>
    <xf numFmtId="164" fontId="3056" fillId="0" borderId="3315" xfId="0" applyNumberFormat="1" applyFont="1" applyBorder="1" applyAlignment="1">
      <alignment horizontal="right"/>
    </xf>
    <xf numFmtId="164" fontId="3141" fillId="0" borderId="3407" xfId="0" applyNumberFormat="1" applyFont="1" applyBorder="1" applyAlignment="1">
      <alignment horizontal="right"/>
    </xf>
    <xf numFmtId="164" fontId="3216" fillId="0" borderId="3489" xfId="0" applyNumberFormat="1" applyFont="1" applyBorder="1" applyAlignment="1">
      <alignment horizontal="right"/>
    </xf>
    <xf numFmtId="164" fontId="3001" fillId="0" borderId="3253" xfId="0" applyNumberFormat="1" applyFont="1" applyBorder="1" applyAlignment="1">
      <alignment horizontal="right"/>
    </xf>
    <xf numFmtId="164" fontId="3086" fillId="0" borderId="3345" xfId="0" applyNumberFormat="1" applyFont="1" applyBorder="1" applyAlignment="1">
      <alignment horizontal="right"/>
    </xf>
    <xf numFmtId="164" fontId="3167" fillId="0" borderId="3433" xfId="0" applyNumberFormat="1" applyFont="1" applyBorder="1" applyAlignment="1">
      <alignment horizontal="right"/>
    </xf>
    <xf numFmtId="164" fontId="3246" fillId="0" borderId="3519" xfId="0" applyNumberFormat="1" applyFont="1" applyBorder="1" applyAlignment="1">
      <alignment horizontal="right"/>
    </xf>
    <xf numFmtId="164" fontId="3002" fillId="0" borderId="3254" xfId="0" applyNumberFormat="1" applyFont="1" applyBorder="1" applyAlignment="1">
      <alignment horizontal="right"/>
    </xf>
    <xf numFmtId="164" fontId="3087" fillId="0" borderId="3346" xfId="0" applyNumberFormat="1" applyFont="1" applyBorder="1" applyAlignment="1">
      <alignment horizontal="right"/>
    </xf>
    <xf numFmtId="164" fontId="3168" fillId="0" borderId="3434" xfId="0" applyNumberFormat="1" applyFont="1" applyBorder="1" applyAlignment="1">
      <alignment horizontal="right"/>
    </xf>
    <xf numFmtId="164" fontId="3247" fillId="0" borderId="3520" xfId="0" applyNumberFormat="1" applyFont="1" applyBorder="1" applyAlignment="1">
      <alignment horizontal="right"/>
    </xf>
    <xf numFmtId="164" fontId="3003" fillId="0" borderId="3255" xfId="0" applyNumberFormat="1" applyFont="1" applyBorder="1" applyAlignment="1">
      <alignment horizontal="right"/>
    </xf>
    <xf numFmtId="164" fontId="3088" fillId="0" borderId="3347" xfId="0" applyNumberFormat="1" applyFont="1" applyBorder="1" applyAlignment="1">
      <alignment horizontal="right"/>
    </xf>
    <xf numFmtId="164" fontId="3169" fillId="0" borderId="3435" xfId="0" applyNumberFormat="1" applyFont="1" applyBorder="1" applyAlignment="1">
      <alignment horizontal="right"/>
    </xf>
    <xf numFmtId="164" fontId="3248" fillId="0" borderId="3521" xfId="0" applyNumberFormat="1" applyFont="1" applyBorder="1" applyAlignment="1">
      <alignment horizontal="right"/>
    </xf>
    <xf numFmtId="164" fontId="3004" fillId="0" borderId="3256" xfId="0" applyNumberFormat="1" applyFont="1" applyBorder="1" applyAlignment="1">
      <alignment horizontal="right"/>
    </xf>
    <xf numFmtId="164" fontId="3089" fillId="0" borderId="3348" xfId="0" applyNumberFormat="1" applyFont="1" applyBorder="1" applyAlignment="1">
      <alignment horizontal="right"/>
    </xf>
    <xf numFmtId="164" fontId="3170" fillId="0" borderId="3436" xfId="0" applyNumberFormat="1" applyFont="1" applyBorder="1" applyAlignment="1">
      <alignment horizontal="right"/>
    </xf>
    <xf numFmtId="164" fontId="3249" fillId="0" borderId="3522" xfId="0" applyNumberFormat="1" applyFont="1" applyBorder="1" applyAlignment="1">
      <alignment horizontal="right"/>
    </xf>
    <xf numFmtId="164" fontId="3005" fillId="0" borderId="3257" xfId="0" applyNumberFormat="1" applyFont="1" applyBorder="1" applyAlignment="1">
      <alignment horizontal="right"/>
    </xf>
    <xf numFmtId="164" fontId="3090" fillId="0" borderId="3349" xfId="0" applyNumberFormat="1" applyFont="1" applyBorder="1" applyAlignment="1">
      <alignment horizontal="right"/>
    </xf>
    <xf numFmtId="164" fontId="3171" fillId="0" borderId="3437" xfId="0" applyNumberFormat="1" applyFont="1" applyBorder="1" applyAlignment="1">
      <alignment horizontal="right"/>
    </xf>
    <xf numFmtId="164" fontId="3250" fillId="0" borderId="3523" xfId="0" applyNumberFormat="1" applyFont="1" applyBorder="1" applyAlignment="1">
      <alignment horizontal="right"/>
    </xf>
    <xf numFmtId="164" fontId="3006" fillId="0" borderId="3258" xfId="0" applyNumberFormat="1" applyFont="1" applyBorder="1" applyAlignment="1">
      <alignment horizontal="right"/>
    </xf>
    <xf numFmtId="164" fontId="3091" fillId="0" borderId="3350" xfId="0" applyNumberFormat="1" applyFont="1" applyBorder="1" applyAlignment="1">
      <alignment horizontal="right"/>
    </xf>
    <xf numFmtId="164" fontId="3172" fillId="0" borderId="3438" xfId="0" applyNumberFormat="1" applyFont="1" applyBorder="1" applyAlignment="1">
      <alignment horizontal="right"/>
    </xf>
    <xf numFmtId="164" fontId="3251" fillId="0" borderId="3524" xfId="0" applyNumberFormat="1" applyFont="1" applyBorder="1" applyAlignment="1">
      <alignment horizontal="right"/>
    </xf>
    <xf numFmtId="164" fontId="3007" fillId="0" borderId="3259" xfId="0" applyNumberFormat="1" applyFont="1" applyBorder="1" applyAlignment="1">
      <alignment horizontal="right"/>
    </xf>
    <xf numFmtId="164" fontId="3092" fillId="0" borderId="3351" xfId="0" applyNumberFormat="1" applyFont="1" applyBorder="1" applyAlignment="1">
      <alignment horizontal="right"/>
    </xf>
    <xf numFmtId="164" fontId="3173" fillId="0" borderId="3439" xfId="0" applyNumberFormat="1" applyFont="1" applyBorder="1" applyAlignment="1">
      <alignment horizontal="right"/>
    </xf>
    <xf numFmtId="164" fontId="3252" fillId="0" borderId="3525" xfId="0" applyNumberFormat="1" applyFont="1" applyBorder="1" applyAlignment="1">
      <alignment horizontal="right"/>
    </xf>
    <xf numFmtId="164" fontId="3008" fillId="0" borderId="3260" xfId="0" applyNumberFormat="1" applyFont="1" applyBorder="1" applyAlignment="1">
      <alignment horizontal="right"/>
    </xf>
    <xf numFmtId="164" fontId="3093" fillId="0" borderId="3352" xfId="0" applyNumberFormat="1" applyFont="1" applyBorder="1" applyAlignment="1">
      <alignment horizontal="right"/>
    </xf>
    <xf numFmtId="164" fontId="3174" fillId="0" borderId="3440" xfId="0" applyNumberFormat="1" applyFont="1" applyBorder="1" applyAlignment="1">
      <alignment horizontal="right"/>
    </xf>
    <xf numFmtId="164" fontId="3253" fillId="0" borderId="3526" xfId="0" applyNumberFormat="1" applyFont="1" applyBorder="1" applyAlignment="1">
      <alignment horizontal="right"/>
    </xf>
    <xf numFmtId="164" fontId="3009" fillId="0" borderId="3261" xfId="0" applyNumberFormat="1" applyFont="1" applyBorder="1" applyAlignment="1">
      <alignment horizontal="right"/>
    </xf>
    <xf numFmtId="164" fontId="3094" fillId="0" borderId="3353" xfId="0" applyNumberFormat="1" applyFont="1" applyBorder="1" applyAlignment="1">
      <alignment horizontal="right"/>
    </xf>
    <xf numFmtId="164" fontId="3175" fillId="0" borderId="3441" xfId="0" applyNumberFormat="1" applyFont="1" applyBorder="1" applyAlignment="1">
      <alignment horizontal="right"/>
    </xf>
    <xf numFmtId="164" fontId="3254" fillId="0" borderId="3527" xfId="0" applyNumberFormat="1" applyFont="1" applyBorder="1" applyAlignment="1">
      <alignment horizontal="right"/>
    </xf>
    <xf numFmtId="164" fontId="3010" fillId="0" borderId="3262" xfId="0" applyNumberFormat="1" applyFont="1" applyBorder="1" applyAlignment="1">
      <alignment horizontal="right"/>
    </xf>
    <xf numFmtId="164" fontId="3095" fillId="0" borderId="3354" xfId="0" applyNumberFormat="1" applyFont="1" applyBorder="1" applyAlignment="1">
      <alignment horizontal="right"/>
    </xf>
    <xf numFmtId="164" fontId="3176" fillId="0" borderId="3442" xfId="0" applyNumberFormat="1" applyFont="1" applyBorder="1" applyAlignment="1">
      <alignment horizontal="right"/>
    </xf>
    <xf numFmtId="164" fontId="3255" fillId="0" borderId="3528" xfId="0" applyNumberFormat="1" applyFont="1" applyBorder="1" applyAlignment="1">
      <alignment horizontal="right"/>
    </xf>
    <xf numFmtId="164" fontId="3011" fillId="0" borderId="3263" xfId="0" applyNumberFormat="1" applyFont="1" applyBorder="1" applyAlignment="1">
      <alignment horizontal="right"/>
    </xf>
    <xf numFmtId="164" fontId="3096" fillId="0" borderId="3355" xfId="0" applyNumberFormat="1" applyFont="1" applyBorder="1" applyAlignment="1">
      <alignment horizontal="right"/>
    </xf>
    <xf numFmtId="164" fontId="3177" fillId="0" borderId="3443" xfId="0" applyNumberFormat="1" applyFont="1" applyBorder="1" applyAlignment="1">
      <alignment horizontal="right"/>
    </xf>
    <xf numFmtId="164" fontId="3256" fillId="0" borderId="3529" xfId="0" applyNumberFormat="1" applyFont="1" applyBorder="1" applyAlignment="1">
      <alignment horizontal="right"/>
    </xf>
    <xf numFmtId="164" fontId="3012" fillId="0" borderId="3264" xfId="0" applyNumberFormat="1" applyFont="1" applyBorder="1" applyAlignment="1">
      <alignment horizontal="right"/>
    </xf>
    <xf numFmtId="164" fontId="3097" fillId="0" borderId="3356" xfId="0" applyNumberFormat="1" applyFont="1" applyBorder="1" applyAlignment="1">
      <alignment horizontal="right"/>
    </xf>
    <xf numFmtId="164" fontId="3178" fillId="0" borderId="3444" xfId="0" applyNumberFormat="1" applyFont="1" applyBorder="1" applyAlignment="1">
      <alignment horizontal="right"/>
    </xf>
    <xf numFmtId="164" fontId="3257" fillId="0" borderId="3530" xfId="0" applyNumberFormat="1" applyFont="1" applyBorder="1" applyAlignment="1">
      <alignment horizontal="right"/>
    </xf>
    <xf numFmtId="164" fontId="3013" fillId="0" borderId="3265" xfId="0" applyNumberFormat="1" applyFont="1" applyBorder="1" applyAlignment="1">
      <alignment horizontal="right"/>
    </xf>
    <xf numFmtId="164" fontId="3098" fillId="0" borderId="3357" xfId="0" applyNumberFormat="1" applyFont="1" applyBorder="1" applyAlignment="1">
      <alignment horizontal="right"/>
    </xf>
    <xf numFmtId="164" fontId="3179" fillId="0" borderId="3445" xfId="0" applyNumberFormat="1" applyFont="1" applyBorder="1" applyAlignment="1">
      <alignment horizontal="right"/>
    </xf>
    <xf numFmtId="164" fontId="3258" fillId="0" borderId="3531" xfId="0" applyNumberFormat="1" applyFont="1" applyBorder="1" applyAlignment="1">
      <alignment horizontal="right"/>
    </xf>
    <xf numFmtId="164" fontId="3014" fillId="0" borderId="3266" xfId="0" applyNumberFormat="1" applyFont="1" applyBorder="1" applyAlignment="1">
      <alignment horizontal="right"/>
    </xf>
    <xf numFmtId="164" fontId="3099" fillId="0" borderId="3358" xfId="0" applyNumberFormat="1" applyFont="1" applyBorder="1" applyAlignment="1">
      <alignment horizontal="right"/>
    </xf>
    <xf numFmtId="164" fontId="3180" fillId="0" borderId="3446" xfId="0" applyNumberFormat="1" applyFont="1" applyBorder="1" applyAlignment="1">
      <alignment horizontal="right"/>
    </xf>
    <xf numFmtId="164" fontId="3259" fillId="0" borderId="3532" xfId="0" applyNumberFormat="1" applyFont="1" applyBorder="1" applyAlignment="1">
      <alignment horizontal="right"/>
    </xf>
    <xf numFmtId="164" fontId="3015" fillId="0" borderId="3267" xfId="0" applyNumberFormat="1" applyFont="1" applyBorder="1" applyAlignment="1">
      <alignment horizontal="right"/>
    </xf>
    <xf numFmtId="164" fontId="3100" fillId="0" borderId="3359" xfId="0" applyNumberFormat="1" applyFont="1" applyBorder="1" applyAlignment="1">
      <alignment horizontal="right"/>
    </xf>
    <xf numFmtId="164" fontId="3181" fillId="0" borderId="3447" xfId="0" applyNumberFormat="1" applyFont="1" applyBorder="1" applyAlignment="1">
      <alignment horizontal="right"/>
    </xf>
    <xf numFmtId="164" fontId="3260" fillId="0" borderId="3533" xfId="0" applyNumberFormat="1" applyFont="1" applyBorder="1" applyAlignment="1">
      <alignment horizontal="right"/>
    </xf>
    <xf numFmtId="164" fontId="2972" fillId="0" borderId="3224" xfId="0" applyNumberFormat="1" applyFont="1" applyBorder="1" applyAlignment="1">
      <alignment horizontal="right"/>
    </xf>
    <xf numFmtId="164" fontId="3057" fillId="0" borderId="3316" xfId="0" applyNumberFormat="1" applyFont="1" applyBorder="1" applyAlignment="1">
      <alignment horizontal="right"/>
    </xf>
    <xf numFmtId="164" fontId="3142" fillId="0" borderId="3408" xfId="0" applyNumberFormat="1" applyFont="1" applyBorder="1" applyAlignment="1">
      <alignment horizontal="right"/>
    </xf>
    <xf numFmtId="164" fontId="3217" fillId="0" borderId="3490" xfId="0" applyNumberFormat="1" applyFont="1" applyBorder="1" applyAlignment="1">
      <alignment horizontal="right"/>
    </xf>
    <xf numFmtId="164" fontId="3021" fillId="0" borderId="3273" xfId="0" applyNumberFormat="1" applyFont="1" applyBorder="1" applyAlignment="1">
      <alignment horizontal="right"/>
    </xf>
    <xf numFmtId="164" fontId="3106" fillId="0" borderId="3365" xfId="0" applyNumberFormat="1" applyFont="1" applyBorder="1" applyAlignment="1">
      <alignment horizontal="right"/>
    </xf>
    <xf numFmtId="164" fontId="3185" fillId="0" borderId="3451" xfId="0" applyNumberFormat="1" applyFont="1" applyBorder="1" applyAlignment="1">
      <alignment horizontal="right"/>
    </xf>
    <xf numFmtId="164" fontId="3266" fillId="0" borderId="3539" xfId="0" applyNumberFormat="1" applyFont="1" applyBorder="1" applyAlignment="1">
      <alignment horizontal="right"/>
    </xf>
    <xf numFmtId="164" fontId="3022" fillId="0" borderId="3274" xfId="0" applyNumberFormat="1" applyFont="1" applyBorder="1" applyAlignment="1">
      <alignment horizontal="right"/>
    </xf>
    <xf numFmtId="164" fontId="3107" fillId="0" borderId="3366" xfId="0" applyNumberFormat="1" applyFont="1" applyBorder="1" applyAlignment="1">
      <alignment horizontal="right"/>
    </xf>
    <xf numFmtId="164" fontId="3186" fillId="0" borderId="3452" xfId="0" applyNumberFormat="1" applyFont="1" applyBorder="1" applyAlignment="1">
      <alignment horizontal="right"/>
    </xf>
    <xf numFmtId="164" fontId="3267" fillId="0" borderId="3540" xfId="0" applyNumberFormat="1" applyFont="1" applyBorder="1" applyAlignment="1">
      <alignment horizontal="right"/>
    </xf>
    <xf numFmtId="164" fontId="3023" fillId="0" borderId="3275" xfId="0" applyNumberFormat="1" applyFont="1" applyBorder="1" applyAlignment="1">
      <alignment horizontal="right"/>
    </xf>
    <xf numFmtId="164" fontId="3108" fillId="0" borderId="3367" xfId="0" applyNumberFormat="1" applyFont="1" applyBorder="1" applyAlignment="1">
      <alignment horizontal="right"/>
    </xf>
    <xf numFmtId="164" fontId="3187" fillId="0" borderId="3453" xfId="0" applyNumberFormat="1" applyFont="1" applyBorder="1" applyAlignment="1">
      <alignment horizontal="right"/>
    </xf>
    <xf numFmtId="164" fontId="3268" fillId="0" borderId="3541" xfId="0" applyNumberFormat="1" applyFont="1" applyBorder="1" applyAlignment="1">
      <alignment horizontal="right"/>
    </xf>
    <xf numFmtId="164" fontId="3024" fillId="0" borderId="3276" xfId="0" applyNumberFormat="1" applyFont="1" applyBorder="1" applyAlignment="1">
      <alignment horizontal="right"/>
    </xf>
    <xf numFmtId="164" fontId="3109" fillId="0" borderId="3368" xfId="0" applyNumberFormat="1" applyFont="1" applyBorder="1" applyAlignment="1">
      <alignment horizontal="right"/>
    </xf>
    <xf numFmtId="164" fontId="3188" fillId="0" borderId="3454" xfId="0" applyNumberFormat="1" applyFont="1" applyBorder="1" applyAlignment="1">
      <alignment horizontal="right"/>
    </xf>
    <xf numFmtId="164" fontId="3269" fillId="0" borderId="3542" xfId="0" applyNumberFormat="1" applyFont="1" applyBorder="1" applyAlignment="1">
      <alignment horizontal="right"/>
    </xf>
    <xf numFmtId="164" fontId="3025" fillId="0" borderId="3277" xfId="0" applyNumberFormat="1" applyFont="1" applyBorder="1" applyAlignment="1">
      <alignment horizontal="right"/>
    </xf>
    <xf numFmtId="164" fontId="3110" fillId="0" borderId="3369" xfId="0" applyNumberFormat="1" applyFont="1" applyBorder="1" applyAlignment="1">
      <alignment horizontal="right"/>
    </xf>
    <xf numFmtId="164" fontId="3189" fillId="0" borderId="3455" xfId="0" applyNumberFormat="1" applyFont="1" applyBorder="1" applyAlignment="1">
      <alignment horizontal="right"/>
    </xf>
    <xf numFmtId="164" fontId="3270" fillId="0" borderId="3543" xfId="0" applyNumberFormat="1" applyFont="1" applyBorder="1" applyAlignment="1">
      <alignment horizontal="right"/>
    </xf>
    <xf numFmtId="164" fontId="3026" fillId="0" borderId="3278" xfId="0" applyNumberFormat="1" applyFont="1" applyBorder="1" applyAlignment="1">
      <alignment horizontal="right"/>
    </xf>
    <xf numFmtId="164" fontId="3111" fillId="0" borderId="3370" xfId="0" applyNumberFormat="1" applyFont="1" applyBorder="1" applyAlignment="1">
      <alignment horizontal="right"/>
    </xf>
    <xf numFmtId="164" fontId="3190" fillId="0" borderId="3456" xfId="0" applyNumberFormat="1" applyFont="1" applyBorder="1" applyAlignment="1">
      <alignment horizontal="right"/>
    </xf>
    <xf numFmtId="164" fontId="3271" fillId="0" borderId="3544" xfId="0" applyNumberFormat="1" applyFont="1" applyBorder="1" applyAlignment="1">
      <alignment horizontal="right"/>
    </xf>
    <xf numFmtId="164" fontId="3027" fillId="0" borderId="3279" xfId="0" applyNumberFormat="1" applyFont="1" applyBorder="1" applyAlignment="1">
      <alignment horizontal="right"/>
    </xf>
    <xf numFmtId="164" fontId="3112" fillId="0" borderId="3371" xfId="0" applyNumberFormat="1" applyFont="1" applyBorder="1" applyAlignment="1">
      <alignment horizontal="right"/>
    </xf>
    <xf numFmtId="164" fontId="3191" fillId="0" borderId="3457" xfId="0" applyNumberFormat="1" applyFont="1" applyBorder="1" applyAlignment="1">
      <alignment horizontal="right"/>
    </xf>
    <xf numFmtId="164" fontId="3272" fillId="0" borderId="3545" xfId="0" applyNumberFormat="1" applyFont="1" applyBorder="1" applyAlignment="1">
      <alignment horizontal="right"/>
    </xf>
    <xf numFmtId="164" fontId="3028" fillId="0" borderId="3280" xfId="0" applyNumberFormat="1" applyFont="1" applyBorder="1" applyAlignment="1">
      <alignment horizontal="right"/>
    </xf>
    <xf numFmtId="164" fontId="3113" fillId="0" borderId="3372" xfId="0" applyNumberFormat="1" applyFont="1" applyBorder="1" applyAlignment="1">
      <alignment horizontal="right"/>
    </xf>
    <xf numFmtId="164" fontId="3192" fillId="0" borderId="3458" xfId="0" applyNumberFormat="1" applyFont="1" applyBorder="1" applyAlignment="1">
      <alignment horizontal="right"/>
    </xf>
    <xf numFmtId="164" fontId="3273" fillId="0" borderId="3546" xfId="0" applyNumberFormat="1" applyFont="1" applyBorder="1" applyAlignment="1">
      <alignment horizontal="right"/>
    </xf>
    <xf numFmtId="164" fontId="3029" fillId="0" borderId="3281" xfId="0" applyNumberFormat="1" applyFont="1" applyBorder="1" applyAlignment="1">
      <alignment horizontal="right"/>
    </xf>
    <xf numFmtId="164" fontId="3114" fillId="0" borderId="3373" xfId="0" applyNumberFormat="1" applyFont="1" applyBorder="1" applyAlignment="1">
      <alignment horizontal="right"/>
    </xf>
    <xf numFmtId="164" fontId="3193" fillId="0" borderId="3459" xfId="0" applyNumberFormat="1" applyFont="1" applyBorder="1" applyAlignment="1">
      <alignment horizontal="right"/>
    </xf>
    <xf numFmtId="164" fontId="3274" fillId="0" borderId="3547" xfId="0" applyNumberFormat="1" applyFont="1" applyBorder="1" applyAlignment="1">
      <alignment horizontal="right"/>
    </xf>
    <xf numFmtId="164" fontId="3030" fillId="0" borderId="3282" xfId="0" applyNumberFormat="1" applyFont="1" applyBorder="1" applyAlignment="1">
      <alignment horizontal="right"/>
    </xf>
    <xf numFmtId="164" fontId="3115" fillId="0" borderId="3374" xfId="0" applyNumberFormat="1" applyFont="1" applyBorder="1" applyAlignment="1">
      <alignment horizontal="right"/>
    </xf>
    <xf numFmtId="164" fontId="3194" fillId="0" borderId="3460" xfId="0" applyNumberFormat="1" applyFont="1" applyBorder="1" applyAlignment="1">
      <alignment horizontal="right"/>
    </xf>
    <xf numFmtId="164" fontId="3275" fillId="0" borderId="3548" xfId="0" applyNumberFormat="1" applyFont="1" applyBorder="1" applyAlignment="1">
      <alignment horizontal="right"/>
    </xf>
    <xf numFmtId="164" fontId="3031" fillId="0" borderId="3283" xfId="0" applyNumberFormat="1" applyFont="1" applyBorder="1" applyAlignment="1">
      <alignment horizontal="right"/>
    </xf>
    <xf numFmtId="164" fontId="3116" fillId="0" borderId="3375" xfId="0" applyNumberFormat="1" applyFont="1" applyBorder="1" applyAlignment="1">
      <alignment horizontal="right"/>
    </xf>
    <xf numFmtId="164" fontId="3195" fillId="0" borderId="3461" xfId="0" applyNumberFormat="1" applyFont="1" applyBorder="1" applyAlignment="1">
      <alignment horizontal="right"/>
    </xf>
    <xf numFmtId="164" fontId="3276" fillId="0" borderId="3549" xfId="0" applyNumberFormat="1" applyFont="1" applyBorder="1" applyAlignment="1">
      <alignment horizontal="right"/>
    </xf>
    <xf numFmtId="164" fontId="3032" fillId="0" borderId="3284" xfId="0" applyNumberFormat="1" applyFont="1" applyBorder="1" applyAlignment="1">
      <alignment horizontal="right"/>
    </xf>
    <xf numFmtId="164" fontId="3117" fillId="0" borderId="3376" xfId="0" applyNumberFormat="1" applyFont="1" applyBorder="1" applyAlignment="1">
      <alignment horizontal="right"/>
    </xf>
    <xf numFmtId="164" fontId="3196" fillId="0" borderId="3462" xfId="0" applyNumberFormat="1" applyFont="1" applyBorder="1" applyAlignment="1">
      <alignment horizontal="right"/>
    </xf>
    <xf numFmtId="164" fontId="3277" fillId="0" borderId="3550" xfId="0" applyNumberFormat="1" applyFont="1" applyBorder="1" applyAlignment="1">
      <alignment horizontal="right"/>
    </xf>
    <xf numFmtId="164" fontId="3033" fillId="0" borderId="3285" xfId="0" applyNumberFormat="1" applyFont="1" applyBorder="1" applyAlignment="1">
      <alignment horizontal="right"/>
    </xf>
    <xf numFmtId="164" fontId="3118" fillId="0" borderId="3377" xfId="0" applyNumberFormat="1" applyFont="1" applyBorder="1" applyAlignment="1">
      <alignment horizontal="right"/>
    </xf>
    <xf numFmtId="164" fontId="3197" fillId="0" borderId="3463" xfId="0" applyNumberFormat="1" applyFont="1" applyBorder="1" applyAlignment="1">
      <alignment horizontal="right"/>
    </xf>
    <xf numFmtId="164" fontId="3278" fillId="0" borderId="3551" xfId="0" applyNumberFormat="1" applyFont="1" applyBorder="1" applyAlignment="1">
      <alignment horizontal="right"/>
    </xf>
    <xf numFmtId="164" fontId="3034" fillId="0" borderId="3286" xfId="0" applyNumberFormat="1" applyFont="1" applyBorder="1" applyAlignment="1">
      <alignment horizontal="right"/>
    </xf>
    <xf numFmtId="164" fontId="3119" fillId="0" borderId="3378" xfId="0" applyNumberFormat="1" applyFont="1" applyBorder="1" applyAlignment="1">
      <alignment horizontal="right"/>
    </xf>
    <xf numFmtId="164" fontId="3198" fillId="0" borderId="3464" xfId="0" applyNumberFormat="1" applyFont="1" applyBorder="1" applyAlignment="1">
      <alignment horizontal="right"/>
    </xf>
    <xf numFmtId="164" fontId="3279" fillId="0" borderId="3552" xfId="0" applyNumberFormat="1" applyFont="1" applyBorder="1" applyAlignment="1">
      <alignment horizontal="right"/>
    </xf>
    <xf numFmtId="164" fontId="2973" fillId="0" borderId="3225" xfId="0" applyNumberFormat="1" applyFont="1" applyBorder="1" applyAlignment="1">
      <alignment horizontal="right"/>
    </xf>
    <xf numFmtId="164" fontId="3058" fillId="0" borderId="3317" xfId="0" applyNumberFormat="1" applyFont="1" applyBorder="1" applyAlignment="1">
      <alignment horizontal="right"/>
    </xf>
    <xf numFmtId="164" fontId="3143" fillId="0" borderId="3409" xfId="0" applyNumberFormat="1" applyFont="1" applyBorder="1" applyAlignment="1">
      <alignment horizontal="right"/>
    </xf>
    <xf numFmtId="164" fontId="3218" fillId="0" borderId="3491" xfId="0" applyNumberFormat="1" applyFont="1" applyBorder="1" applyAlignment="1">
      <alignment horizontal="right"/>
    </xf>
    <xf numFmtId="164" fontId="3040" fillId="0" borderId="3292" xfId="0" applyNumberFormat="1" applyFont="1" applyBorder="1" applyAlignment="1">
      <alignment horizontal="right"/>
    </xf>
    <xf numFmtId="164" fontId="3125" fillId="0" borderId="3384" xfId="0" applyNumberFormat="1" applyFont="1" applyBorder="1" applyAlignment="1">
      <alignment horizontal="right"/>
    </xf>
    <xf numFmtId="164" fontId="3202" fillId="0" borderId="3468" xfId="0" applyNumberFormat="1" applyFont="1" applyBorder="1" applyAlignment="1">
      <alignment horizontal="right"/>
    </xf>
    <xf numFmtId="164" fontId="3285" fillId="0" borderId="3558" xfId="0" applyNumberFormat="1" applyFont="1" applyBorder="1" applyAlignment="1">
      <alignment horizontal="right"/>
    </xf>
    <xf numFmtId="164" fontId="3041" fillId="0" borderId="3293" xfId="0" applyNumberFormat="1" applyFont="1" applyBorder="1" applyAlignment="1">
      <alignment horizontal="right"/>
    </xf>
    <xf numFmtId="164" fontId="3126" fillId="0" borderId="3385" xfId="0" applyNumberFormat="1" applyFont="1" applyBorder="1" applyAlignment="1">
      <alignment horizontal="right"/>
    </xf>
    <xf numFmtId="164" fontId="3203" fillId="0" borderId="3469" xfId="0" applyNumberFormat="1" applyFont="1" applyBorder="1" applyAlignment="1">
      <alignment horizontal="right"/>
    </xf>
    <xf numFmtId="164" fontId="3286" fillId="0" borderId="3559" xfId="0" applyNumberFormat="1" applyFont="1" applyBorder="1" applyAlignment="1">
      <alignment horizontal="right"/>
    </xf>
    <xf numFmtId="164" fontId="3042" fillId="0" borderId="3294" xfId="0" applyNumberFormat="1" applyFont="1" applyBorder="1" applyAlignment="1">
      <alignment horizontal="right"/>
    </xf>
    <xf numFmtId="164" fontId="3127" fillId="0" borderId="3386" xfId="0" applyNumberFormat="1" applyFont="1" applyBorder="1" applyAlignment="1">
      <alignment horizontal="right"/>
    </xf>
    <xf numFmtId="164" fontId="3204" fillId="0" borderId="3470" xfId="0" applyNumberFormat="1" applyFont="1" applyBorder="1" applyAlignment="1">
      <alignment horizontal="right"/>
    </xf>
    <xf numFmtId="164" fontId="3287" fillId="0" borderId="3560" xfId="0" applyNumberFormat="1" applyFont="1" applyBorder="1" applyAlignment="1">
      <alignment horizontal="right"/>
    </xf>
    <xf numFmtId="164" fontId="3043" fillId="0" borderId="3295" xfId="0" applyNumberFormat="1" applyFont="1" applyBorder="1" applyAlignment="1">
      <alignment horizontal="right"/>
    </xf>
    <xf numFmtId="164" fontId="3128" fillId="0" borderId="3387" xfId="0" applyNumberFormat="1" applyFont="1" applyBorder="1" applyAlignment="1">
      <alignment horizontal="right"/>
    </xf>
    <xf numFmtId="164" fontId="3205" fillId="0" borderId="3471" xfId="0" applyNumberFormat="1" applyFont="1" applyBorder="1" applyAlignment="1">
      <alignment horizontal="right"/>
    </xf>
    <xf numFmtId="164" fontId="3288" fillId="0" borderId="3561" xfId="0" applyNumberFormat="1" applyFont="1" applyBorder="1" applyAlignment="1">
      <alignment horizontal="right"/>
    </xf>
    <xf numFmtId="164" fontId="3044" fillId="0" borderId="3296" xfId="0" applyNumberFormat="1" applyFont="1" applyBorder="1" applyAlignment="1">
      <alignment horizontal="right"/>
    </xf>
    <xf numFmtId="164" fontId="3129" fillId="0" borderId="3388" xfId="0" applyNumberFormat="1" applyFont="1" applyBorder="1" applyAlignment="1">
      <alignment horizontal="right"/>
    </xf>
    <xf numFmtId="164" fontId="3206" fillId="0" borderId="3472" xfId="0" applyNumberFormat="1" applyFont="1" applyBorder="1" applyAlignment="1">
      <alignment horizontal="right"/>
    </xf>
    <xf numFmtId="164" fontId="3289" fillId="0" borderId="3562" xfId="0" applyNumberFormat="1" applyFont="1" applyBorder="1" applyAlignment="1">
      <alignment horizontal="right"/>
    </xf>
    <xf numFmtId="164" fontId="3045" fillId="0" borderId="3297" xfId="0" applyNumberFormat="1" applyFont="1" applyBorder="1" applyAlignment="1">
      <alignment horizontal="right"/>
    </xf>
    <xf numFmtId="164" fontId="3130" fillId="0" borderId="3389" xfId="0" applyNumberFormat="1" applyFont="1" applyBorder="1" applyAlignment="1">
      <alignment horizontal="right"/>
    </xf>
    <xf numFmtId="164" fontId="3207" fillId="0" borderId="3473" xfId="0" applyNumberFormat="1" applyFont="1" applyBorder="1" applyAlignment="1">
      <alignment horizontal="right"/>
    </xf>
    <xf numFmtId="164" fontId="3290" fillId="0" borderId="3563" xfId="0" applyNumberFormat="1" applyFont="1" applyBorder="1" applyAlignment="1">
      <alignment horizontal="right"/>
    </xf>
    <xf numFmtId="164" fontId="1" fillId="0" borderId="3298" xfId="0" applyNumberFormat="1" applyFont="1" applyBorder="1" applyAlignment="1">
      <alignment horizontal="right"/>
    </xf>
    <xf numFmtId="164" fontId="1" fillId="0" borderId="3390" xfId="0" applyNumberFormat="1" applyFont="1" applyBorder="1" applyAlignment="1">
      <alignment horizontal="right"/>
    </xf>
    <xf numFmtId="164" fontId="1" fillId="0" borderId="3474" xfId="0" applyNumberFormat="1" applyFont="1" applyBorder="1" applyAlignment="1">
      <alignment horizontal="right"/>
    </xf>
    <xf numFmtId="164" fontId="1" fillId="0" borderId="3564" xfId="0" applyNumberFormat="1" applyFont="1" applyBorder="1" applyAlignment="1">
      <alignment horizontal="right"/>
    </xf>
    <xf numFmtId="164" fontId="1" fillId="0" borderId="3299" xfId="0" applyNumberFormat="1" applyFont="1" applyBorder="1" applyAlignment="1">
      <alignment horizontal="right"/>
    </xf>
    <xf numFmtId="164" fontId="1" fillId="0" borderId="3391" xfId="0" applyNumberFormat="1" applyFont="1" applyBorder="1" applyAlignment="1">
      <alignment horizontal="right"/>
    </xf>
    <xf numFmtId="164" fontId="1" fillId="0" borderId="3475" xfId="0" applyNumberFormat="1" applyFont="1" applyBorder="1" applyAlignment="1">
      <alignment horizontal="right"/>
    </xf>
    <xf numFmtId="164" fontId="1" fillId="0" borderId="3565" xfId="0" applyNumberFormat="1" applyFont="1" applyBorder="1" applyAlignment="1">
      <alignment horizontal="right"/>
    </xf>
    <xf numFmtId="164" fontId="1" fillId="0" borderId="3300" xfId="0" applyNumberFormat="1" applyFont="1" applyBorder="1" applyAlignment="1">
      <alignment horizontal="right"/>
    </xf>
    <xf numFmtId="164" fontId="1" fillId="0" borderId="3392" xfId="0" applyNumberFormat="1" applyFont="1" applyBorder="1" applyAlignment="1">
      <alignment horizontal="right"/>
    </xf>
    <xf numFmtId="164" fontId="1" fillId="0" borderId="3476" xfId="0" applyNumberFormat="1" applyFont="1" applyBorder="1" applyAlignment="1">
      <alignment horizontal="right"/>
    </xf>
    <xf numFmtId="164" fontId="1" fillId="0" borderId="3566" xfId="0" applyNumberFormat="1" applyFont="1" applyBorder="1" applyAlignment="1">
      <alignment horizontal="right"/>
    </xf>
    <xf numFmtId="164" fontId="1" fillId="0" borderId="3301" xfId="0" applyNumberFormat="1" applyFont="1" applyBorder="1" applyAlignment="1">
      <alignment horizontal="right"/>
    </xf>
    <xf numFmtId="164" fontId="1" fillId="0" borderId="3393" xfId="0" applyNumberFormat="1" applyFont="1" applyBorder="1" applyAlignment="1">
      <alignment horizontal="right"/>
    </xf>
    <xf numFmtId="164" fontId="1" fillId="0" borderId="3477" xfId="0" applyNumberFormat="1" applyFont="1" applyBorder="1" applyAlignment="1">
      <alignment horizontal="right"/>
    </xf>
    <xf numFmtId="164" fontId="1" fillId="0" borderId="3567" xfId="0" applyNumberFormat="1" applyFont="1" applyBorder="1" applyAlignment="1">
      <alignment horizontal="right"/>
    </xf>
    <xf numFmtId="164" fontId="1" fillId="0" borderId="3302" xfId="0" applyNumberFormat="1" applyFont="1" applyBorder="1" applyAlignment="1">
      <alignment horizontal="right"/>
    </xf>
    <xf numFmtId="164" fontId="1" fillId="0" borderId="3394" xfId="0" applyNumberFormat="1" applyFont="1" applyBorder="1" applyAlignment="1">
      <alignment horizontal="right"/>
    </xf>
    <xf numFmtId="164" fontId="1" fillId="0" borderId="3478" xfId="0" applyNumberFormat="1" applyFont="1" applyBorder="1" applyAlignment="1">
      <alignment horizontal="right"/>
    </xf>
    <xf numFmtId="164" fontId="1" fillId="0" borderId="3568" xfId="0" applyNumberFormat="1" applyFont="1" applyBorder="1" applyAlignment="1">
      <alignment horizontal="right"/>
    </xf>
    <xf numFmtId="164" fontId="1" fillId="0" borderId="3303" xfId="0" applyNumberFormat="1" applyFont="1" applyBorder="1" applyAlignment="1">
      <alignment horizontal="right"/>
    </xf>
    <xf numFmtId="164" fontId="1" fillId="0" borderId="3395" xfId="0" applyNumberFormat="1" applyFont="1" applyBorder="1" applyAlignment="1">
      <alignment horizontal="right"/>
    </xf>
    <xf numFmtId="164" fontId="1" fillId="0" borderId="3479" xfId="0" applyNumberFormat="1" applyFont="1" applyBorder="1" applyAlignment="1">
      <alignment horizontal="right"/>
    </xf>
    <xf numFmtId="164" fontId="1" fillId="0" borderId="3569" xfId="0" applyNumberFormat="1" applyFont="1" applyBorder="1" applyAlignment="1">
      <alignment horizontal="right"/>
    </xf>
    <xf numFmtId="164" fontId="1" fillId="0" borderId="3304" xfId="0" applyNumberFormat="1" applyFont="1" applyBorder="1" applyAlignment="1">
      <alignment horizontal="right"/>
    </xf>
    <xf numFmtId="164" fontId="1" fillId="0" borderId="3396" xfId="0" applyNumberFormat="1" applyFont="1" applyBorder="1" applyAlignment="1">
      <alignment horizontal="right"/>
    </xf>
    <xf numFmtId="164" fontId="1" fillId="0" borderId="3480" xfId="0" applyNumberFormat="1" applyFont="1" applyBorder="1" applyAlignment="1">
      <alignment horizontal="right"/>
    </xf>
    <xf numFmtId="164" fontId="1" fillId="0" borderId="3570" xfId="0" applyNumberFormat="1" applyFont="1" applyBorder="1" applyAlignment="1">
      <alignment horizontal="right"/>
    </xf>
    <xf numFmtId="164" fontId="3046" fillId="0" borderId="3305" xfId="0" applyNumberFormat="1" applyFont="1" applyBorder="1" applyAlignment="1">
      <alignment horizontal="right"/>
    </xf>
    <xf numFmtId="164" fontId="3131" fillId="0" borderId="3397" xfId="0" applyNumberFormat="1" applyFont="1" applyBorder="1" applyAlignment="1">
      <alignment horizontal="right"/>
    </xf>
    <xf numFmtId="164" fontId="3208" fillId="0" borderId="3481" xfId="0" applyNumberFormat="1" applyFont="1" applyBorder="1" applyAlignment="1">
      <alignment horizontal="right"/>
    </xf>
    <xf numFmtId="164" fontId="3291" fillId="0" borderId="3571" xfId="0" applyNumberFormat="1" applyFont="1" applyBorder="1" applyAlignment="1">
      <alignment horizontal="right"/>
    </xf>
    <xf numFmtId="164" fontId="2974" fillId="0" borderId="3226" xfId="0" applyNumberFormat="1" applyFont="1" applyBorder="1" applyAlignment="1">
      <alignment horizontal="right"/>
    </xf>
    <xf numFmtId="164" fontId="3059" fillId="0" borderId="3318" xfId="0" applyNumberFormat="1" applyFont="1" applyBorder="1" applyAlignment="1">
      <alignment horizontal="right"/>
    </xf>
    <xf numFmtId="164" fontId="3144" fillId="0" borderId="3410" xfId="0" applyNumberFormat="1" applyFont="1" applyBorder="1" applyAlignment="1">
      <alignment horizontal="right"/>
    </xf>
    <xf numFmtId="164" fontId="3219" fillId="0" borderId="3492" xfId="0" applyNumberFormat="1" applyFont="1" applyBorder="1" applyAlignment="1">
      <alignment horizontal="right"/>
    </xf>
    <xf numFmtId="164" fontId="3052" fillId="0" borderId="3311" xfId="0" applyNumberFormat="1" applyFont="1" applyBorder="1" applyAlignment="1">
      <alignment horizontal="right"/>
    </xf>
    <xf numFmtId="164" fontId="3137" fillId="0" borderId="3403" xfId="0" applyNumberFormat="1" applyFont="1" applyBorder="1" applyAlignment="1">
      <alignment horizontal="right"/>
    </xf>
    <xf numFmtId="164" fontId="3212" fillId="0" borderId="3485" xfId="0" applyNumberFormat="1" applyFont="1" applyBorder="1" applyAlignment="1">
      <alignment horizontal="right"/>
    </xf>
    <xf numFmtId="164" fontId="3297" fillId="0" borderId="3577" xfId="0" applyNumberFormat="1" applyFont="1" applyBorder="1" applyAlignment="1">
      <alignment horizontal="right"/>
    </xf>
    <xf numFmtId="164" fontId="3053" fillId="0" borderId="3312" xfId="0" applyNumberFormat="1" applyFont="1" applyBorder="1" applyAlignment="1">
      <alignment horizontal="right"/>
    </xf>
    <xf numFmtId="164" fontId="3138" fillId="0" borderId="3404" xfId="0" applyNumberFormat="1" applyFont="1" applyBorder="1" applyAlignment="1">
      <alignment horizontal="right"/>
    </xf>
    <xf numFmtId="164" fontId="3213" fillId="0" borderId="3486" xfId="0" applyNumberFormat="1" applyFont="1" applyBorder="1" applyAlignment="1">
      <alignment horizontal="right"/>
    </xf>
    <xf numFmtId="164" fontId="3298" fillId="0" borderId="3578" xfId="0" applyNumberFormat="1" applyFont="1" applyBorder="1" applyAlignment="1">
      <alignment horizontal="right"/>
    </xf>
    <xf numFmtId="164" fontId="3054" fillId="0" borderId="3313" xfId="0" applyNumberFormat="1" applyFont="1" applyBorder="1" applyAlignment="1">
      <alignment horizontal="right"/>
    </xf>
    <xf numFmtId="164" fontId="3139" fillId="0" borderId="3405" xfId="0" applyNumberFormat="1" applyFont="1" applyBorder="1" applyAlignment="1">
      <alignment horizontal="right"/>
    </xf>
    <xf numFmtId="164" fontId="3214" fillId="0" borderId="3487" xfId="0" applyNumberFormat="1" applyFont="1" applyBorder="1" applyAlignment="1">
      <alignment horizontal="right"/>
    </xf>
    <xf numFmtId="164" fontId="3299" fillId="0" borderId="3579" xfId="0" applyNumberFormat="1" applyFont="1" applyBorder="1" applyAlignment="1">
      <alignment horizontal="right"/>
    </xf>
    <xf numFmtId="164" fontId="3055" fillId="0" borderId="3314" xfId="0" applyNumberFormat="1" applyFont="1" applyBorder="1" applyAlignment="1">
      <alignment horizontal="right"/>
    </xf>
    <xf numFmtId="164" fontId="3140" fillId="0" borderId="3406" xfId="0" applyNumberFormat="1" applyFont="1" applyBorder="1" applyAlignment="1">
      <alignment horizontal="right"/>
    </xf>
    <xf numFmtId="164" fontId="3215" fillId="0" borderId="3488" xfId="0" applyNumberFormat="1" applyFont="1" applyBorder="1" applyAlignment="1">
      <alignment horizontal="right"/>
    </xf>
    <xf numFmtId="164" fontId="3300" fillId="0" borderId="3580" xfId="0" applyNumberFormat="1" applyFont="1" applyBorder="1" applyAlignment="1">
      <alignment horizontal="right"/>
    </xf>
    <xf numFmtId="164" fontId="2975" fillId="0" borderId="3227" xfId="0" applyNumberFormat="1" applyFont="1" applyBorder="1" applyAlignment="1">
      <alignment horizontal="right"/>
    </xf>
    <xf numFmtId="164" fontId="3060" fillId="0" borderId="3319" xfId="0" applyNumberFormat="1" applyFont="1" applyBorder="1" applyAlignment="1">
      <alignment horizontal="right"/>
    </xf>
    <xf numFmtId="164" fontId="3145" fillId="0" borderId="3411" xfId="0" applyNumberFormat="1" applyFont="1" applyBorder="1" applyAlignment="1">
      <alignment horizontal="right"/>
    </xf>
    <xf numFmtId="164" fontId="3220" fillId="0" borderId="3493" xfId="0" applyNumberFormat="1" applyFont="1" applyBorder="1" applyAlignment="1">
      <alignment horizontal="right"/>
    </xf>
    <xf numFmtId="164" fontId="5336" fillId="0" borderId="5672" xfId="0" applyNumberFormat="1" applyFont="1" applyBorder="1" applyAlignment="1">
      <alignment horizontal="right"/>
    </xf>
    <xf numFmtId="164" fontId="5375" fillId="0" borderId="5711" xfId="0" applyNumberFormat="1" applyFont="1" applyBorder="1" applyAlignment="1">
      <alignment horizontal="right"/>
    </xf>
    <xf numFmtId="164" fontId="5412" fillId="0" borderId="5748" xfId="0" applyNumberFormat="1" applyFont="1" applyBorder="1" applyAlignment="1">
      <alignment horizontal="right"/>
    </xf>
    <xf numFmtId="164" fontId="5449" fillId="0" borderId="5785" xfId="0" applyNumberFormat="1" applyFont="1" applyBorder="1" applyAlignment="1">
      <alignment horizontal="right"/>
    </xf>
    <xf numFmtId="164" fontId="5337" fillId="0" borderId="5673" xfId="0" applyNumberFormat="1" applyFont="1" applyBorder="1" applyAlignment="1">
      <alignment horizontal="right"/>
    </xf>
    <xf numFmtId="164" fontId="5376" fillId="0" borderId="5712" xfId="0" applyNumberFormat="1" applyFont="1" applyBorder="1" applyAlignment="1">
      <alignment horizontal="right"/>
    </xf>
    <xf numFmtId="164" fontId="5413" fillId="0" borderId="5749" xfId="0" applyNumberFormat="1" applyFont="1" applyBorder="1" applyAlignment="1">
      <alignment horizontal="right"/>
    </xf>
    <xf numFmtId="164" fontId="5450" fillId="0" borderId="5786" xfId="0" applyNumberFormat="1" applyFont="1" applyBorder="1" applyAlignment="1">
      <alignment horizontal="right"/>
    </xf>
    <xf numFmtId="164" fontId="5338" fillId="0" borderId="5674" xfId="0" applyNumberFormat="1" applyFont="1" applyBorder="1" applyAlignment="1">
      <alignment horizontal="right"/>
    </xf>
    <xf numFmtId="164" fontId="5377" fillId="0" borderId="5713" xfId="0" applyNumberFormat="1" applyFont="1" applyBorder="1" applyAlignment="1">
      <alignment horizontal="right"/>
    </xf>
    <xf numFmtId="164" fontId="5414" fillId="0" borderId="5750" xfId="0" applyNumberFormat="1" applyFont="1" applyBorder="1" applyAlignment="1">
      <alignment horizontal="right"/>
    </xf>
    <xf numFmtId="164" fontId="5451" fillId="0" borderId="5787" xfId="0" applyNumberFormat="1" applyFont="1" applyBorder="1" applyAlignment="1">
      <alignment horizontal="right"/>
    </xf>
    <xf numFmtId="164" fontId="5339" fillId="0" borderId="5675" xfId="0" applyNumberFormat="1" applyFont="1" applyBorder="1" applyAlignment="1">
      <alignment horizontal="right"/>
    </xf>
    <xf numFmtId="164" fontId="5378" fillId="0" borderId="5714" xfId="0" applyNumberFormat="1" applyFont="1" applyBorder="1" applyAlignment="1">
      <alignment horizontal="right"/>
    </xf>
    <xf numFmtId="164" fontId="5415" fillId="0" borderId="5751" xfId="0" applyNumberFormat="1" applyFont="1" applyBorder="1" applyAlignment="1">
      <alignment horizontal="right"/>
    </xf>
    <xf numFmtId="164" fontId="5452" fillId="0" borderId="5788" xfId="0" applyNumberFormat="1" applyFont="1" applyBorder="1" applyAlignment="1">
      <alignment horizontal="right"/>
    </xf>
    <xf numFmtId="164" fontId="5340" fillId="0" borderId="5676" xfId="0" applyNumberFormat="1" applyFont="1" applyBorder="1" applyAlignment="1">
      <alignment horizontal="right"/>
    </xf>
    <xf numFmtId="164" fontId="5379" fillId="0" borderId="5715" xfId="0" applyNumberFormat="1" applyFont="1" applyBorder="1" applyAlignment="1">
      <alignment horizontal="right"/>
    </xf>
    <xf numFmtId="164" fontId="5416" fillId="0" borderId="5752" xfId="0" applyNumberFormat="1" applyFont="1" applyBorder="1" applyAlignment="1">
      <alignment horizontal="right"/>
    </xf>
    <xf numFmtId="164" fontId="5453" fillId="0" borderId="5789" xfId="0" applyNumberFormat="1" applyFont="1" applyBorder="1" applyAlignment="1">
      <alignment horizontal="right"/>
    </xf>
    <xf numFmtId="164" fontId="5341" fillId="0" borderId="5677" xfId="0" applyNumberFormat="1" applyFont="1" applyBorder="1" applyAlignment="1">
      <alignment horizontal="right"/>
    </xf>
    <xf numFmtId="164" fontId="5380" fillId="0" borderId="5716" xfId="0" applyNumberFormat="1" applyFont="1" applyBorder="1" applyAlignment="1">
      <alignment horizontal="right"/>
    </xf>
    <xf numFmtId="164" fontId="5417" fillId="0" borderId="5753" xfId="0" applyNumberFormat="1" applyFont="1" applyBorder="1" applyAlignment="1">
      <alignment horizontal="right"/>
    </xf>
    <xf numFmtId="164" fontId="5454" fillId="0" borderId="5790" xfId="0" applyNumberFormat="1" applyFont="1" applyBorder="1" applyAlignment="1">
      <alignment horizontal="right"/>
    </xf>
    <xf numFmtId="164" fontId="5342" fillId="0" borderId="5678" xfId="0" applyNumberFormat="1" applyFont="1" applyBorder="1" applyAlignment="1">
      <alignment horizontal="right"/>
    </xf>
    <xf numFmtId="164" fontId="5381" fillId="0" borderId="5717" xfId="0" applyNumberFormat="1" applyFont="1" applyBorder="1" applyAlignment="1">
      <alignment horizontal="right"/>
    </xf>
    <xf numFmtId="164" fontId="5418" fillId="0" borderId="5754" xfId="0" applyNumberFormat="1" applyFont="1" applyBorder="1" applyAlignment="1">
      <alignment horizontal="right"/>
    </xf>
    <xf numFmtId="164" fontId="5455" fillId="0" borderId="5791" xfId="0" applyNumberFormat="1" applyFont="1" applyBorder="1" applyAlignment="1">
      <alignment horizontal="right"/>
    </xf>
    <xf numFmtId="164" fontId="5343" fillId="0" borderId="5679" xfId="0" applyNumberFormat="1" applyFont="1" applyBorder="1" applyAlignment="1">
      <alignment horizontal="right"/>
    </xf>
    <xf numFmtId="164" fontId="5382" fillId="0" borderId="5718" xfId="0" applyNumberFormat="1" applyFont="1" applyBorder="1" applyAlignment="1">
      <alignment horizontal="right"/>
    </xf>
    <xf numFmtId="164" fontId="5419" fillId="0" borderId="5755" xfId="0" applyNumberFormat="1" applyFont="1" applyBorder="1" applyAlignment="1">
      <alignment horizontal="right"/>
    </xf>
    <xf numFmtId="164" fontId="5456" fillId="0" borderId="5792" xfId="0" applyNumberFormat="1" applyFont="1" applyBorder="1" applyAlignment="1">
      <alignment horizontal="right"/>
    </xf>
    <xf numFmtId="164" fontId="5344" fillId="0" borderId="5680" xfId="0" applyNumberFormat="1" applyFont="1" applyBorder="1" applyAlignment="1">
      <alignment horizontal="right"/>
    </xf>
    <xf numFmtId="164" fontId="5383" fillId="0" borderId="5719" xfId="0" applyNumberFormat="1" applyFont="1" applyBorder="1" applyAlignment="1">
      <alignment horizontal="right"/>
    </xf>
    <xf numFmtId="164" fontId="5420" fillId="0" borderId="5756" xfId="0" applyNumberFormat="1" applyFont="1" applyBorder="1" applyAlignment="1">
      <alignment horizontal="right"/>
    </xf>
    <xf numFmtId="164" fontId="5457" fillId="0" borderId="5793" xfId="0" applyNumberFormat="1" applyFont="1" applyBorder="1" applyAlignment="1">
      <alignment horizontal="right"/>
    </xf>
    <xf numFmtId="164" fontId="5345" fillId="0" borderId="5681" xfId="0" applyNumberFormat="1" applyFont="1" applyBorder="1" applyAlignment="1">
      <alignment horizontal="right"/>
    </xf>
    <xf numFmtId="164" fontId="5384" fillId="0" borderId="5720" xfId="0" applyNumberFormat="1" applyFont="1" applyBorder="1" applyAlignment="1">
      <alignment horizontal="right"/>
    </xf>
    <xf numFmtId="164" fontId="5421" fillId="0" borderId="5757" xfId="0" applyNumberFormat="1" applyFont="1" applyBorder="1" applyAlignment="1">
      <alignment horizontal="right"/>
    </xf>
    <xf numFmtId="164" fontId="5458" fillId="0" borderId="5794" xfId="0" applyNumberFormat="1" applyFont="1" applyBorder="1" applyAlignment="1">
      <alignment horizontal="right"/>
    </xf>
    <xf numFmtId="164" fontId="5346" fillId="0" borderId="5682" xfId="0" applyNumberFormat="1" applyFont="1" applyBorder="1" applyAlignment="1">
      <alignment horizontal="right"/>
    </xf>
    <xf numFmtId="164" fontId="5385" fillId="0" borderId="5721" xfId="0" applyNumberFormat="1" applyFont="1" applyBorder="1" applyAlignment="1">
      <alignment horizontal="right"/>
    </xf>
    <xf numFmtId="164" fontId="5422" fillId="0" borderId="5758" xfId="0" applyNumberFormat="1" applyFont="1" applyBorder="1" applyAlignment="1">
      <alignment horizontal="right"/>
    </xf>
    <xf numFmtId="164" fontId="5459" fillId="0" borderId="5795" xfId="0" applyNumberFormat="1" applyFont="1" applyBorder="1" applyAlignment="1">
      <alignment horizontal="right"/>
    </xf>
    <xf numFmtId="164" fontId="5347" fillId="0" borderId="5683" xfId="0" applyNumberFormat="1" applyFont="1" applyBorder="1" applyAlignment="1">
      <alignment horizontal="right"/>
    </xf>
    <xf numFmtId="164" fontId="5386" fillId="0" borderId="5722" xfId="0" applyNumberFormat="1" applyFont="1" applyBorder="1" applyAlignment="1">
      <alignment horizontal="right"/>
    </xf>
    <xf numFmtId="164" fontId="5423" fillId="0" borderId="5759" xfId="0" applyNumberFormat="1" applyFont="1" applyBorder="1" applyAlignment="1">
      <alignment horizontal="right"/>
    </xf>
    <xf numFmtId="164" fontId="5460" fillId="0" borderId="5796" xfId="0" applyNumberFormat="1" applyFont="1" applyBorder="1" applyAlignment="1">
      <alignment horizontal="right"/>
    </xf>
    <xf numFmtId="164" fontId="5348" fillId="0" borderId="5684" xfId="0" applyNumberFormat="1" applyFont="1" applyBorder="1" applyAlignment="1">
      <alignment horizontal="right"/>
    </xf>
    <xf numFmtId="164" fontId="5387" fillId="0" borderId="5723" xfId="0" applyNumberFormat="1" applyFont="1" applyBorder="1" applyAlignment="1">
      <alignment horizontal="right"/>
    </xf>
    <xf numFmtId="164" fontId="5424" fillId="0" borderId="5760" xfId="0" applyNumberFormat="1" applyFont="1" applyBorder="1" applyAlignment="1">
      <alignment horizontal="right"/>
    </xf>
    <xf numFmtId="164" fontId="5461" fillId="0" borderId="5797" xfId="0" applyNumberFormat="1" applyFont="1" applyBorder="1" applyAlignment="1">
      <alignment horizontal="right"/>
    </xf>
    <xf numFmtId="164" fontId="5329" fillId="0" borderId="5665" xfId="0" applyNumberFormat="1" applyFont="1" applyBorder="1" applyAlignment="1">
      <alignment horizontal="right"/>
    </xf>
    <xf numFmtId="164" fontId="5368" fillId="0" borderId="5704" xfId="0" applyNumberFormat="1" applyFont="1" applyBorder="1" applyAlignment="1">
      <alignment horizontal="right"/>
    </xf>
    <xf numFmtId="164" fontId="5407" fillId="0" borderId="5743" xfId="0" applyNumberFormat="1" applyFont="1" applyBorder="1" applyAlignment="1">
      <alignment horizontal="right"/>
    </xf>
    <xf numFmtId="164" fontId="5442" fillId="0" borderId="5778" xfId="0" applyNumberFormat="1" applyFont="1" applyBorder="1" applyAlignment="1">
      <alignment horizontal="right"/>
    </xf>
    <xf numFmtId="164" fontId="5354" fillId="0" borderId="5690" xfId="0" applyNumberFormat="1" applyFont="1" applyBorder="1" applyAlignment="1">
      <alignment horizontal="right"/>
    </xf>
    <xf numFmtId="164" fontId="5393" fillId="0" borderId="5729" xfId="0" applyNumberFormat="1" applyFont="1" applyBorder="1" applyAlignment="1">
      <alignment horizontal="right"/>
    </xf>
    <xf numFmtId="164" fontId="5428" fillId="0" borderId="5764" xfId="0" applyNumberFormat="1" applyFont="1" applyBorder="1" applyAlignment="1">
      <alignment horizontal="right"/>
    </xf>
    <xf numFmtId="164" fontId="5467" fillId="0" borderId="5803" xfId="0" applyNumberFormat="1" applyFont="1" applyBorder="1" applyAlignment="1">
      <alignment horizontal="right"/>
    </xf>
    <xf numFmtId="164" fontId="5355" fillId="0" borderId="5691" xfId="0" applyNumberFormat="1" applyFont="1" applyBorder="1" applyAlignment="1">
      <alignment horizontal="right"/>
    </xf>
    <xf numFmtId="164" fontId="5394" fillId="0" borderId="5730" xfId="0" applyNumberFormat="1" applyFont="1" applyBorder="1" applyAlignment="1">
      <alignment horizontal="right"/>
    </xf>
    <xf numFmtId="164" fontId="5429" fillId="0" borderId="5765" xfId="0" applyNumberFormat="1" applyFont="1" applyBorder="1" applyAlignment="1">
      <alignment horizontal="right"/>
    </xf>
    <xf numFmtId="164" fontId="5468" fillId="0" borderId="5804" xfId="0" applyNumberFormat="1" applyFont="1" applyBorder="1" applyAlignment="1">
      <alignment horizontal="right"/>
    </xf>
    <xf numFmtId="164" fontId="5356" fillId="0" borderId="5692" xfId="0" applyNumberFormat="1" applyFont="1" applyBorder="1" applyAlignment="1">
      <alignment horizontal="right"/>
    </xf>
    <xf numFmtId="164" fontId="5395" fillId="0" borderId="5731" xfId="0" applyNumberFormat="1" applyFont="1" applyBorder="1" applyAlignment="1">
      <alignment horizontal="right"/>
    </xf>
    <xf numFmtId="164" fontId="5430" fillId="0" borderId="5766" xfId="0" applyNumberFormat="1" applyFont="1" applyBorder="1" applyAlignment="1">
      <alignment horizontal="right"/>
    </xf>
    <xf numFmtId="164" fontId="5469" fillId="0" borderId="5805" xfId="0" applyNumberFormat="1" applyFont="1" applyBorder="1" applyAlignment="1">
      <alignment horizontal="right"/>
    </xf>
    <xf numFmtId="164" fontId="5357" fillId="0" borderId="5693" xfId="0" applyNumberFormat="1" applyFont="1" applyBorder="1" applyAlignment="1">
      <alignment horizontal="right"/>
    </xf>
    <xf numFmtId="164" fontId="5396" fillId="0" borderId="5732" xfId="0" applyNumberFormat="1" applyFont="1" applyBorder="1" applyAlignment="1">
      <alignment horizontal="right"/>
    </xf>
    <xf numFmtId="164" fontId="5431" fillId="0" borderId="5767" xfId="0" applyNumberFormat="1" applyFont="1" applyBorder="1" applyAlignment="1">
      <alignment horizontal="right"/>
    </xf>
    <xf numFmtId="164" fontId="5470" fillId="0" borderId="5806" xfId="0" applyNumberFormat="1" applyFont="1" applyBorder="1" applyAlignment="1">
      <alignment horizontal="right"/>
    </xf>
    <xf numFmtId="164" fontId="5358" fillId="0" borderId="5694" xfId="0" applyNumberFormat="1" applyFont="1" applyBorder="1" applyAlignment="1">
      <alignment horizontal="right"/>
    </xf>
    <xf numFmtId="164" fontId="5397" fillId="0" borderId="5733" xfId="0" applyNumberFormat="1" applyFont="1" applyBorder="1" applyAlignment="1">
      <alignment horizontal="right"/>
    </xf>
    <xf numFmtId="164" fontId="5432" fillId="0" borderId="5768" xfId="0" applyNumberFormat="1" applyFont="1" applyBorder="1" applyAlignment="1">
      <alignment horizontal="right"/>
    </xf>
    <xf numFmtId="164" fontId="5471" fillId="0" borderId="5807" xfId="0" applyNumberFormat="1" applyFont="1" applyBorder="1" applyAlignment="1">
      <alignment horizontal="right"/>
    </xf>
    <xf numFmtId="164" fontId="5359" fillId="0" borderId="5695" xfId="0" applyNumberFormat="1" applyFont="1" applyBorder="1" applyAlignment="1">
      <alignment horizontal="right"/>
    </xf>
    <xf numFmtId="164" fontId="5398" fillId="0" borderId="5734" xfId="0" applyNumberFormat="1" applyFont="1" applyBorder="1" applyAlignment="1">
      <alignment horizontal="right"/>
    </xf>
    <xf numFmtId="164" fontId="5433" fillId="0" borderId="5769" xfId="0" applyNumberFormat="1" applyFont="1" applyBorder="1" applyAlignment="1">
      <alignment horizontal="right"/>
    </xf>
    <xf numFmtId="164" fontId="5472" fillId="0" borderId="5808" xfId="0" applyNumberFormat="1" applyFont="1" applyBorder="1" applyAlignment="1">
      <alignment horizontal="right"/>
    </xf>
    <xf numFmtId="164" fontId="5360" fillId="0" borderId="5696" xfId="0" applyNumberFormat="1" applyFont="1" applyBorder="1" applyAlignment="1">
      <alignment horizontal="right"/>
    </xf>
    <xf numFmtId="164" fontId="5399" fillId="0" borderId="5735" xfId="0" applyNumberFormat="1" applyFont="1" applyBorder="1" applyAlignment="1">
      <alignment horizontal="right"/>
    </xf>
    <xf numFmtId="164" fontId="5434" fillId="0" borderId="5770" xfId="0" applyNumberFormat="1" applyFont="1" applyBorder="1" applyAlignment="1">
      <alignment horizontal="right"/>
    </xf>
    <xf numFmtId="164" fontId="5473" fillId="0" borderId="5809" xfId="0" applyNumberFormat="1" applyFont="1" applyBorder="1" applyAlignment="1">
      <alignment horizontal="right"/>
    </xf>
    <xf numFmtId="164" fontId="5361" fillId="0" borderId="5697" xfId="0" applyNumberFormat="1" applyFont="1" applyBorder="1" applyAlignment="1">
      <alignment horizontal="right"/>
    </xf>
    <xf numFmtId="164" fontId="5400" fillId="0" borderId="5736" xfId="0" applyNumberFormat="1" applyFont="1" applyBorder="1" applyAlignment="1">
      <alignment horizontal="right"/>
    </xf>
    <xf numFmtId="164" fontId="5435" fillId="0" borderId="5771" xfId="0" applyNumberFormat="1" applyFont="1" applyBorder="1" applyAlignment="1">
      <alignment horizontal="right"/>
    </xf>
    <xf numFmtId="164" fontId="5474" fillId="0" borderId="5810" xfId="0" applyNumberFormat="1" applyFont="1" applyBorder="1" applyAlignment="1">
      <alignment horizontal="right"/>
    </xf>
    <xf numFmtId="164" fontId="5362" fillId="0" borderId="5698" xfId="0" applyNumberFormat="1" applyFont="1" applyBorder="1" applyAlignment="1">
      <alignment horizontal="right"/>
    </xf>
    <xf numFmtId="164" fontId="5401" fillId="0" borderId="5737" xfId="0" applyNumberFormat="1" applyFont="1" applyBorder="1" applyAlignment="1">
      <alignment horizontal="right"/>
    </xf>
    <xf numFmtId="164" fontId="5436" fillId="0" borderId="5772" xfId="0" applyNumberFormat="1" applyFont="1" applyBorder="1" applyAlignment="1">
      <alignment horizontal="right"/>
    </xf>
    <xf numFmtId="164" fontId="5475" fillId="0" borderId="5811" xfId="0" applyNumberFormat="1" applyFont="1" applyBorder="1" applyAlignment="1">
      <alignment horizontal="right"/>
    </xf>
    <xf numFmtId="164" fontId="5363" fillId="0" borderId="5699" xfId="0" applyNumberFormat="1" applyFont="1" applyBorder="1" applyAlignment="1">
      <alignment horizontal="right"/>
    </xf>
    <xf numFmtId="164" fontId="5402" fillId="0" borderId="5738" xfId="0" applyNumberFormat="1" applyFont="1" applyBorder="1" applyAlignment="1">
      <alignment horizontal="right"/>
    </xf>
    <xf numFmtId="164" fontId="5437" fillId="0" borderId="5773" xfId="0" applyNumberFormat="1" applyFont="1" applyBorder="1" applyAlignment="1">
      <alignment horizontal="right"/>
    </xf>
    <xf numFmtId="164" fontId="5476" fillId="0" borderId="5812" xfId="0" applyNumberFormat="1" applyFont="1" applyBorder="1" applyAlignment="1">
      <alignment horizontal="right"/>
    </xf>
    <xf numFmtId="164" fontId="5364" fillId="0" borderId="5700" xfId="0" applyNumberFormat="1" applyFont="1" applyBorder="1" applyAlignment="1">
      <alignment horizontal="right"/>
    </xf>
    <xf numFmtId="164" fontId="5403" fillId="0" borderId="5739" xfId="0" applyNumberFormat="1" applyFont="1" applyBorder="1" applyAlignment="1">
      <alignment horizontal="right"/>
    </xf>
    <xf numFmtId="164" fontId="5438" fillId="0" borderId="5774" xfId="0" applyNumberFormat="1" applyFont="1" applyBorder="1" applyAlignment="1">
      <alignment horizontal="right"/>
    </xf>
    <xf numFmtId="164" fontId="5477" fillId="0" borderId="5813" xfId="0" applyNumberFormat="1" applyFont="1" applyBorder="1" applyAlignment="1">
      <alignment horizontal="right"/>
    </xf>
    <xf numFmtId="164" fontId="5365" fillId="0" borderId="5701" xfId="0" applyNumberFormat="1" applyFont="1" applyBorder="1" applyAlignment="1">
      <alignment horizontal="right"/>
    </xf>
    <xf numFmtId="164" fontId="5404" fillId="0" borderId="5740" xfId="0" applyNumberFormat="1" applyFont="1" applyBorder="1" applyAlignment="1">
      <alignment horizontal="right"/>
    </xf>
    <xf numFmtId="164" fontId="5439" fillId="0" borderId="5775" xfId="0" applyNumberFormat="1" applyFont="1" applyBorder="1" applyAlignment="1">
      <alignment horizontal="right"/>
    </xf>
    <xf numFmtId="164" fontId="5478" fillId="0" borderId="5814" xfId="0" applyNumberFormat="1" applyFont="1" applyBorder="1" applyAlignment="1">
      <alignment horizontal="right"/>
    </xf>
    <xf numFmtId="164" fontId="5366" fillId="0" borderId="5702" xfId="0" applyNumberFormat="1" applyFont="1" applyBorder="1" applyAlignment="1">
      <alignment horizontal="right"/>
    </xf>
    <xf numFmtId="164" fontId="5405" fillId="0" borderId="5741" xfId="0" applyNumberFormat="1" applyFont="1" applyBorder="1" applyAlignment="1">
      <alignment horizontal="right"/>
    </xf>
    <xf numFmtId="164" fontId="5440" fillId="0" borderId="5776" xfId="0" applyNumberFormat="1" applyFont="1" applyBorder="1" applyAlignment="1">
      <alignment horizontal="right"/>
    </xf>
    <xf numFmtId="164" fontId="5479" fillId="0" borderId="5815" xfId="0" applyNumberFormat="1" applyFont="1" applyBorder="1" applyAlignment="1">
      <alignment horizontal="right"/>
    </xf>
    <xf numFmtId="164" fontId="5367" fillId="0" borderId="5703" xfId="0" applyNumberFormat="1" applyFont="1" applyBorder="1" applyAlignment="1">
      <alignment horizontal="right"/>
    </xf>
    <xf numFmtId="164" fontId="5406" fillId="0" borderId="5742" xfId="0" applyNumberFormat="1" applyFont="1" applyBorder="1" applyAlignment="1">
      <alignment horizontal="right"/>
    </xf>
    <xf numFmtId="164" fontId="5441" fillId="0" borderId="5777" xfId="0" applyNumberFormat="1" applyFont="1" applyBorder="1" applyAlignment="1">
      <alignment horizontal="right"/>
    </xf>
    <xf numFmtId="164" fontId="5480" fillId="0" borderId="5816" xfId="0" applyNumberFormat="1" applyFont="1" applyBorder="1" applyAlignment="1">
      <alignment horizontal="right"/>
    </xf>
    <xf numFmtId="164" fontId="5330" fillId="0" borderId="5666" xfId="0" applyNumberFormat="1" applyFont="1" applyBorder="1" applyAlignment="1">
      <alignment horizontal="right"/>
    </xf>
    <xf numFmtId="164" fontId="5369" fillId="0" borderId="5705" xfId="0" applyNumberFormat="1" applyFont="1" applyBorder="1" applyAlignment="1">
      <alignment horizontal="right"/>
    </xf>
    <xf numFmtId="164" fontId="5408" fillId="0" borderId="5744" xfId="0" applyNumberFormat="1" applyFont="1" applyBorder="1" applyAlignment="1">
      <alignment horizontal="right"/>
    </xf>
    <xf numFmtId="164" fontId="5443" fillId="0" borderId="5779" xfId="0" applyNumberFormat="1" applyFont="1" applyBorder="1" applyAlignment="1">
      <alignment horizontal="right"/>
    </xf>
    <xf numFmtId="164" fontId="2651" fillId="0" borderId="2875" xfId="0" applyNumberFormat="1" applyFont="1" applyBorder="1" applyAlignment="1">
      <alignment horizontal="right"/>
    </xf>
    <xf numFmtId="164" fontId="2736" fillId="0" borderId="2967" xfId="0" applyNumberFormat="1" applyFont="1" applyBorder="1" applyAlignment="1">
      <alignment horizontal="right"/>
    </xf>
    <xf numFmtId="164" fontId="2819" fillId="0" borderId="3057" xfId="0" applyNumberFormat="1" applyFont="1" applyBorder="1" applyAlignment="1">
      <alignment horizontal="right"/>
    </xf>
    <xf numFmtId="164" fontId="2896" fillId="0" borderId="3141" xfId="0" applyNumberFormat="1" applyFont="1" applyBorder="1" applyAlignment="1">
      <alignment horizontal="right"/>
    </xf>
    <xf numFmtId="164" fontId="2652" fillId="0" borderId="2876" xfId="0" applyNumberFormat="1" applyFont="1" applyBorder="1" applyAlignment="1">
      <alignment horizontal="right"/>
    </xf>
    <xf numFmtId="164" fontId="2737" fillId="0" borderId="2968" xfId="0" applyNumberFormat="1" applyFont="1" applyBorder="1" applyAlignment="1">
      <alignment horizontal="right"/>
    </xf>
    <xf numFmtId="164" fontId="2820" fillId="0" borderId="3058" xfId="0" applyNumberFormat="1" applyFont="1" applyBorder="1" applyAlignment="1">
      <alignment horizontal="right"/>
    </xf>
    <xf numFmtId="164" fontId="2897" fillId="0" borderId="3142" xfId="0" applyNumberFormat="1" applyFont="1" applyBorder="1" applyAlignment="1">
      <alignment horizontal="right"/>
    </xf>
    <xf numFmtId="164" fontId="2653" fillId="0" borderId="2877" xfId="0" applyNumberFormat="1" applyFont="1" applyBorder="1" applyAlignment="1">
      <alignment horizontal="right"/>
    </xf>
    <xf numFmtId="164" fontId="2738" fillId="0" borderId="2969" xfId="0" applyNumberFormat="1" applyFont="1" applyBorder="1" applyAlignment="1">
      <alignment horizontal="right"/>
    </xf>
    <xf numFmtId="164" fontId="2821" fillId="0" borderId="3059" xfId="0" applyNumberFormat="1" applyFont="1" applyBorder="1" applyAlignment="1">
      <alignment horizontal="right"/>
    </xf>
    <xf numFmtId="164" fontId="2898" fillId="0" borderId="3143" xfId="0" applyNumberFormat="1" applyFont="1" applyBorder="1" applyAlignment="1">
      <alignment horizontal="right"/>
    </xf>
    <xf numFmtId="164" fontId="2654" fillId="0" borderId="2878" xfId="0" applyNumberFormat="1" applyFont="1" applyBorder="1" applyAlignment="1">
      <alignment horizontal="right"/>
    </xf>
    <xf numFmtId="164" fontId="2739" fillId="0" borderId="2970" xfId="0" applyNumberFormat="1" applyFont="1" applyBorder="1" applyAlignment="1">
      <alignment horizontal="right"/>
    </xf>
    <xf numFmtId="164" fontId="2822" fillId="0" borderId="3060" xfId="0" applyNumberFormat="1" applyFont="1" applyBorder="1" applyAlignment="1">
      <alignment horizontal="right"/>
    </xf>
    <xf numFmtId="164" fontId="2899" fillId="0" borderId="3144" xfId="0" applyNumberFormat="1" applyFont="1" applyBorder="1" applyAlignment="1">
      <alignment horizontal="right"/>
    </xf>
    <xf numFmtId="164" fontId="2655" fillId="0" borderId="2879" xfId="0" applyNumberFormat="1" applyFont="1" applyBorder="1" applyAlignment="1">
      <alignment horizontal="right"/>
    </xf>
    <xf numFmtId="164" fontId="2740" fillId="0" borderId="2971" xfId="0" applyNumberFormat="1" applyFont="1" applyBorder="1" applyAlignment="1">
      <alignment horizontal="right"/>
    </xf>
    <xf numFmtId="164" fontId="2823" fillId="0" borderId="3061" xfId="0" applyNumberFormat="1" applyFont="1" applyBorder="1" applyAlignment="1">
      <alignment horizontal="right"/>
    </xf>
    <xf numFmtId="164" fontId="2900" fillId="0" borderId="3145" xfId="0" applyNumberFormat="1" applyFont="1" applyBorder="1" applyAlignment="1">
      <alignment horizontal="right"/>
    </xf>
    <xf numFmtId="164" fontId="2656" fillId="0" borderId="2880" xfId="0" applyNumberFormat="1" applyFont="1" applyBorder="1" applyAlignment="1">
      <alignment horizontal="right"/>
    </xf>
    <xf numFmtId="164" fontId="2741" fillId="0" borderId="2972" xfId="0" applyNumberFormat="1" applyFont="1" applyBorder="1" applyAlignment="1">
      <alignment horizontal="right"/>
    </xf>
    <xf numFmtId="164" fontId="2824" fillId="0" borderId="3062" xfId="0" applyNumberFormat="1" applyFont="1" applyBorder="1" applyAlignment="1">
      <alignment horizontal="right"/>
    </xf>
    <xf numFmtId="164" fontId="2901" fillId="0" borderId="3146" xfId="0" applyNumberFormat="1" applyFont="1" applyBorder="1" applyAlignment="1">
      <alignment horizontal="right"/>
    </xf>
    <xf numFmtId="164" fontId="2657" fillId="0" borderId="2881" xfId="0" applyNumberFormat="1" applyFont="1" applyBorder="1" applyAlignment="1">
      <alignment horizontal="right"/>
    </xf>
    <xf numFmtId="164" fontId="2742" fillId="0" borderId="2973" xfId="0" applyNumberFormat="1" applyFont="1" applyBorder="1" applyAlignment="1">
      <alignment horizontal="right"/>
    </xf>
    <xf numFmtId="164" fontId="2825" fillId="0" borderId="3063" xfId="0" applyNumberFormat="1" applyFont="1" applyBorder="1" applyAlignment="1">
      <alignment horizontal="right"/>
    </xf>
    <xf numFmtId="164" fontId="2902" fillId="0" borderId="3147" xfId="0" applyNumberFormat="1" applyFont="1" applyBorder="1" applyAlignment="1">
      <alignment horizontal="right"/>
    </xf>
    <xf numFmtId="164" fontId="2658" fillId="0" borderId="2882" xfId="0" applyNumberFormat="1" applyFont="1" applyBorder="1" applyAlignment="1">
      <alignment horizontal="right"/>
    </xf>
    <xf numFmtId="164" fontId="2743" fillId="0" borderId="2974" xfId="0" applyNumberFormat="1" applyFont="1" applyBorder="1" applyAlignment="1">
      <alignment horizontal="right"/>
    </xf>
    <xf numFmtId="164" fontId="2826" fillId="0" borderId="3064" xfId="0" applyNumberFormat="1" applyFont="1" applyBorder="1" applyAlignment="1">
      <alignment horizontal="right"/>
    </xf>
    <xf numFmtId="164" fontId="2903" fillId="0" borderId="3148" xfId="0" applyNumberFormat="1" applyFont="1" applyBorder="1" applyAlignment="1">
      <alignment horizontal="right"/>
    </xf>
    <xf numFmtId="164" fontId="2659" fillId="0" borderId="2883" xfId="0" applyNumberFormat="1" applyFont="1" applyBorder="1" applyAlignment="1">
      <alignment horizontal="right"/>
    </xf>
    <xf numFmtId="164" fontId="2744" fillId="0" borderId="2975" xfId="0" applyNumberFormat="1" applyFont="1" applyBorder="1" applyAlignment="1">
      <alignment horizontal="right"/>
    </xf>
    <xf numFmtId="164" fontId="2827" fillId="0" borderId="3065" xfId="0" applyNumberFormat="1" applyFont="1" applyBorder="1" applyAlignment="1">
      <alignment horizontal="right"/>
    </xf>
    <xf numFmtId="164" fontId="2904" fillId="0" borderId="3149" xfId="0" applyNumberFormat="1" applyFont="1" applyBorder="1" applyAlignment="1">
      <alignment horizontal="right"/>
    </xf>
    <xf numFmtId="164" fontId="2660" fillId="0" borderId="2884" xfId="0" applyNumberFormat="1" applyFont="1" applyBorder="1" applyAlignment="1">
      <alignment horizontal="right"/>
    </xf>
    <xf numFmtId="164" fontId="2745" fillId="0" borderId="2976" xfId="0" applyNumberFormat="1" applyFont="1" applyBorder="1" applyAlignment="1">
      <alignment horizontal="right"/>
    </xf>
    <xf numFmtId="164" fontId="2828" fillId="0" borderId="3066" xfId="0" applyNumberFormat="1" applyFont="1" applyBorder="1" applyAlignment="1">
      <alignment horizontal="right"/>
    </xf>
    <xf numFmtId="164" fontId="2905" fillId="0" borderId="3150" xfId="0" applyNumberFormat="1" applyFont="1" applyBorder="1" applyAlignment="1">
      <alignment horizontal="right"/>
    </xf>
    <xf numFmtId="164" fontId="2661" fillId="0" borderId="2885" xfId="0" applyNumberFormat="1" applyFont="1" applyBorder="1" applyAlignment="1">
      <alignment horizontal="right"/>
    </xf>
    <xf numFmtId="164" fontId="2746" fillId="0" borderId="2977" xfId="0" applyNumberFormat="1" applyFont="1" applyBorder="1" applyAlignment="1">
      <alignment horizontal="right"/>
    </xf>
    <xf numFmtId="164" fontId="2829" fillId="0" borderId="3067" xfId="0" applyNumberFormat="1" applyFont="1" applyBorder="1" applyAlignment="1">
      <alignment horizontal="right"/>
    </xf>
    <xf numFmtId="164" fontId="2906" fillId="0" borderId="3151" xfId="0" applyNumberFormat="1" applyFont="1" applyBorder="1" applyAlignment="1">
      <alignment horizontal="right"/>
    </xf>
    <xf numFmtId="164" fontId="2662" fillId="0" borderId="2886" xfId="0" applyNumberFormat="1" applyFont="1" applyBorder="1" applyAlignment="1">
      <alignment horizontal="right"/>
    </xf>
    <xf numFmtId="164" fontId="2747" fillId="0" borderId="2978" xfId="0" applyNumberFormat="1" applyFont="1" applyBorder="1" applyAlignment="1">
      <alignment horizontal="right"/>
    </xf>
    <xf numFmtId="164" fontId="2830" fillId="0" borderId="3068" xfId="0" applyNumberFormat="1" applyFont="1" applyBorder="1" applyAlignment="1">
      <alignment horizontal="right"/>
    </xf>
    <xf numFmtId="164" fontId="2907" fillId="0" borderId="3152" xfId="0" applyNumberFormat="1" applyFont="1" applyBorder="1" applyAlignment="1">
      <alignment horizontal="right"/>
    </xf>
    <xf numFmtId="164" fontId="2663" fillId="0" borderId="2887" xfId="0" applyNumberFormat="1" applyFont="1" applyBorder="1" applyAlignment="1">
      <alignment horizontal="right"/>
    </xf>
    <xf numFmtId="164" fontId="2748" fillId="0" borderId="2979" xfId="0" applyNumberFormat="1" applyFont="1" applyBorder="1" applyAlignment="1">
      <alignment horizontal="right"/>
    </xf>
    <xf numFmtId="164" fontId="2831" fillId="0" borderId="3069" xfId="0" applyNumberFormat="1" applyFont="1" applyBorder="1" applyAlignment="1">
      <alignment horizontal="right"/>
    </xf>
    <xf numFmtId="164" fontId="2908" fillId="0" borderId="3153" xfId="0" applyNumberFormat="1" applyFont="1" applyBorder="1" applyAlignment="1">
      <alignment horizontal="right"/>
    </xf>
    <xf numFmtId="164" fontId="2664" fillId="0" borderId="2888" xfId="0" applyNumberFormat="1" applyFont="1" applyBorder="1" applyAlignment="1">
      <alignment horizontal="right"/>
    </xf>
    <xf numFmtId="164" fontId="2749" fillId="0" borderId="2980" xfId="0" applyNumberFormat="1" applyFont="1" applyBorder="1" applyAlignment="1">
      <alignment horizontal="right"/>
    </xf>
    <xf numFmtId="164" fontId="2832" fillId="0" borderId="3070" xfId="0" applyNumberFormat="1" applyFont="1" applyBorder="1" applyAlignment="1">
      <alignment horizontal="right"/>
    </xf>
    <xf numFmtId="164" fontId="2909" fillId="0" borderId="3154" xfId="0" applyNumberFormat="1" applyFont="1" applyBorder="1" applyAlignment="1">
      <alignment horizontal="right"/>
    </xf>
    <xf numFmtId="164" fontId="2665" fillId="0" borderId="2889" xfId="0" applyNumberFormat="1" applyFont="1" applyBorder="1" applyAlignment="1">
      <alignment horizontal="right"/>
    </xf>
    <xf numFmtId="164" fontId="2750" fillId="0" borderId="2981" xfId="0" applyNumberFormat="1" applyFont="1" applyBorder="1" applyAlignment="1">
      <alignment horizontal="right"/>
    </xf>
    <xf numFmtId="164" fontId="2833" fillId="0" borderId="3071" xfId="0" applyNumberFormat="1" applyFont="1" applyBorder="1" applyAlignment="1">
      <alignment horizontal="right"/>
    </xf>
    <xf numFmtId="164" fontId="2910" fillId="0" borderId="3155" xfId="0" applyNumberFormat="1" applyFont="1" applyBorder="1" applyAlignment="1">
      <alignment horizontal="right"/>
    </xf>
    <xf numFmtId="164" fontId="2641" fillId="0" borderId="2865" xfId="0" applyNumberFormat="1" applyFont="1" applyBorder="1" applyAlignment="1">
      <alignment horizontal="right"/>
    </xf>
    <xf numFmtId="164" fontId="2726" fillId="0" borderId="2957" xfId="0" applyNumberFormat="1" applyFont="1" applyBorder="1" applyAlignment="1">
      <alignment horizontal="right"/>
    </xf>
    <xf numFmtId="164" fontId="2811" fillId="0" borderId="3049" xfId="0" applyNumberFormat="1" applyFont="1" applyBorder="1" applyAlignment="1">
      <alignment horizontal="right"/>
    </xf>
    <xf numFmtId="164" fontId="2886" fillId="0" borderId="3131" xfId="0" applyNumberFormat="1" applyFont="1" applyBorder="1" applyAlignment="1">
      <alignment horizontal="right"/>
    </xf>
    <xf numFmtId="164" fontId="2671" fillId="0" borderId="2895" xfId="0" applyNumberFormat="1" applyFont="1" applyBorder="1" applyAlignment="1">
      <alignment horizontal="right"/>
    </xf>
    <xf numFmtId="164" fontId="2756" fillId="0" borderId="2987" xfId="0" applyNumberFormat="1" applyFont="1" applyBorder="1" applyAlignment="1">
      <alignment horizontal="right"/>
    </xf>
    <xf numFmtId="164" fontId="2837" fillId="0" borderId="3075" xfId="0" applyNumberFormat="1" applyFont="1" applyBorder="1" applyAlignment="1">
      <alignment horizontal="right"/>
    </xf>
    <xf numFmtId="164" fontId="2916" fillId="0" borderId="3161" xfId="0" applyNumberFormat="1" applyFont="1" applyBorder="1" applyAlignment="1">
      <alignment horizontal="right"/>
    </xf>
    <xf numFmtId="164" fontId="2672" fillId="0" borderId="2896" xfId="0" applyNumberFormat="1" applyFont="1" applyBorder="1" applyAlignment="1">
      <alignment horizontal="right"/>
    </xf>
    <xf numFmtId="164" fontId="2757" fillId="0" borderId="2988" xfId="0" applyNumberFormat="1" applyFont="1" applyBorder="1" applyAlignment="1">
      <alignment horizontal="right"/>
    </xf>
    <xf numFmtId="164" fontId="2838" fillId="0" borderId="3076" xfId="0" applyNumberFormat="1" applyFont="1" applyBorder="1" applyAlignment="1">
      <alignment horizontal="right"/>
    </xf>
    <xf numFmtId="164" fontId="2917" fillId="0" borderId="3162" xfId="0" applyNumberFormat="1" applyFont="1" applyBorder="1" applyAlignment="1">
      <alignment horizontal="right"/>
    </xf>
    <xf numFmtId="164" fontId="2673" fillId="0" borderId="2897" xfId="0" applyNumberFormat="1" applyFont="1" applyBorder="1" applyAlignment="1">
      <alignment horizontal="right"/>
    </xf>
    <xf numFmtId="164" fontId="2758" fillId="0" borderId="2989" xfId="0" applyNumberFormat="1" applyFont="1" applyBorder="1" applyAlignment="1">
      <alignment horizontal="right"/>
    </xf>
    <xf numFmtId="164" fontId="2839" fillId="0" borderId="3077" xfId="0" applyNumberFormat="1" applyFont="1" applyBorder="1" applyAlignment="1">
      <alignment horizontal="right"/>
    </xf>
    <xf numFmtId="164" fontId="2918" fillId="0" borderId="3163" xfId="0" applyNumberFormat="1" applyFont="1" applyBorder="1" applyAlignment="1">
      <alignment horizontal="right"/>
    </xf>
    <xf numFmtId="164" fontId="2674" fillId="0" borderId="2898" xfId="0" applyNumberFormat="1" applyFont="1" applyBorder="1" applyAlignment="1">
      <alignment horizontal="right"/>
    </xf>
    <xf numFmtId="164" fontId="2759" fillId="0" borderId="2990" xfId="0" applyNumberFormat="1" applyFont="1" applyBorder="1" applyAlignment="1">
      <alignment horizontal="right"/>
    </xf>
    <xf numFmtId="164" fontId="2840" fillId="0" borderId="3078" xfId="0" applyNumberFormat="1" applyFont="1" applyBorder="1" applyAlignment="1">
      <alignment horizontal="right"/>
    </xf>
    <xf numFmtId="164" fontId="2919" fillId="0" borderId="3164" xfId="0" applyNumberFormat="1" applyFont="1" applyBorder="1" applyAlignment="1">
      <alignment horizontal="right"/>
    </xf>
    <xf numFmtId="164" fontId="2675" fillId="0" borderId="2899" xfId="0" applyNumberFormat="1" applyFont="1" applyBorder="1" applyAlignment="1">
      <alignment horizontal="right"/>
    </xf>
    <xf numFmtId="164" fontId="2760" fillId="0" borderId="2991" xfId="0" applyNumberFormat="1" applyFont="1" applyBorder="1" applyAlignment="1">
      <alignment horizontal="right"/>
    </xf>
    <xf numFmtId="164" fontId="2841" fillId="0" borderId="3079" xfId="0" applyNumberFormat="1" applyFont="1" applyBorder="1" applyAlignment="1">
      <alignment horizontal="right"/>
    </xf>
    <xf numFmtId="164" fontId="2920" fillId="0" borderId="3165" xfId="0" applyNumberFormat="1" applyFont="1" applyBorder="1" applyAlignment="1">
      <alignment horizontal="right"/>
    </xf>
    <xf numFmtId="164" fontId="2676" fillId="0" borderId="2900" xfId="0" applyNumberFormat="1" applyFont="1" applyBorder="1" applyAlignment="1">
      <alignment horizontal="right"/>
    </xf>
    <xf numFmtId="164" fontId="2761" fillId="0" borderId="2992" xfId="0" applyNumberFormat="1" applyFont="1" applyBorder="1" applyAlignment="1">
      <alignment horizontal="right"/>
    </xf>
    <xf numFmtId="164" fontId="2842" fillId="0" borderId="3080" xfId="0" applyNumberFormat="1" applyFont="1" applyBorder="1" applyAlignment="1">
      <alignment horizontal="right"/>
    </xf>
    <xf numFmtId="164" fontId="2921" fillId="0" borderId="3166" xfId="0" applyNumberFormat="1" applyFont="1" applyBorder="1" applyAlignment="1">
      <alignment horizontal="right"/>
    </xf>
    <xf numFmtId="164" fontId="2677" fillId="0" borderId="2901" xfId="0" applyNumberFormat="1" applyFont="1" applyBorder="1" applyAlignment="1">
      <alignment horizontal="right"/>
    </xf>
    <xf numFmtId="164" fontId="2762" fillId="0" borderId="2993" xfId="0" applyNumberFormat="1" applyFont="1" applyBorder="1" applyAlignment="1">
      <alignment horizontal="right"/>
    </xf>
    <xf numFmtId="164" fontId="2843" fillId="0" borderId="3081" xfId="0" applyNumberFormat="1" applyFont="1" applyBorder="1" applyAlignment="1">
      <alignment horizontal="right"/>
    </xf>
    <xf numFmtId="164" fontId="2922" fillId="0" borderId="3167" xfId="0" applyNumberFormat="1" applyFont="1" applyBorder="1" applyAlignment="1">
      <alignment horizontal="right"/>
    </xf>
    <xf numFmtId="164" fontId="2678" fillId="0" borderId="2902" xfId="0" applyNumberFormat="1" applyFont="1" applyBorder="1" applyAlignment="1">
      <alignment horizontal="right"/>
    </xf>
    <xf numFmtId="164" fontId="2763" fillId="0" borderId="2994" xfId="0" applyNumberFormat="1" applyFont="1" applyBorder="1" applyAlignment="1">
      <alignment horizontal="right"/>
    </xf>
    <xf numFmtId="164" fontId="2844" fillId="0" borderId="3082" xfId="0" applyNumberFormat="1" applyFont="1" applyBorder="1" applyAlignment="1">
      <alignment horizontal="right"/>
    </xf>
    <xf numFmtId="164" fontId="2923" fillId="0" borderId="3168" xfId="0" applyNumberFormat="1" applyFont="1" applyBorder="1" applyAlignment="1">
      <alignment horizontal="right"/>
    </xf>
    <xf numFmtId="164" fontId="2679" fillId="0" borderId="2903" xfId="0" applyNumberFormat="1" applyFont="1" applyBorder="1" applyAlignment="1">
      <alignment horizontal="right"/>
    </xf>
    <xf numFmtId="164" fontId="2764" fillId="0" borderId="2995" xfId="0" applyNumberFormat="1" applyFont="1" applyBorder="1" applyAlignment="1">
      <alignment horizontal="right"/>
    </xf>
    <xf numFmtId="164" fontId="2845" fillId="0" borderId="3083" xfId="0" applyNumberFormat="1" applyFont="1" applyBorder="1" applyAlignment="1">
      <alignment horizontal="right"/>
    </xf>
    <xf numFmtId="164" fontId="2924" fillId="0" borderId="3169" xfId="0" applyNumberFormat="1" applyFont="1" applyBorder="1" applyAlignment="1">
      <alignment horizontal="right"/>
    </xf>
    <xf numFmtId="164" fontId="2680" fillId="0" borderId="2904" xfId="0" applyNumberFormat="1" applyFont="1" applyBorder="1" applyAlignment="1">
      <alignment horizontal="right"/>
    </xf>
    <xf numFmtId="164" fontId="2765" fillId="0" borderId="2996" xfId="0" applyNumberFormat="1" applyFont="1" applyBorder="1" applyAlignment="1">
      <alignment horizontal="right"/>
    </xf>
    <xf numFmtId="164" fontId="2846" fillId="0" borderId="3084" xfId="0" applyNumberFormat="1" applyFont="1" applyBorder="1" applyAlignment="1">
      <alignment horizontal="right"/>
    </xf>
    <xf numFmtId="164" fontId="2925" fillId="0" borderId="3170" xfId="0" applyNumberFormat="1" applyFont="1" applyBorder="1" applyAlignment="1">
      <alignment horizontal="right"/>
    </xf>
    <xf numFmtId="164" fontId="2681" fillId="0" borderId="2905" xfId="0" applyNumberFormat="1" applyFont="1" applyBorder="1" applyAlignment="1">
      <alignment horizontal="right"/>
    </xf>
    <xf numFmtId="164" fontId="2766" fillId="0" borderId="2997" xfId="0" applyNumberFormat="1" applyFont="1" applyBorder="1" applyAlignment="1">
      <alignment horizontal="right"/>
    </xf>
    <xf numFmtId="164" fontId="2847" fillId="0" borderId="3085" xfId="0" applyNumberFormat="1" applyFont="1" applyBorder="1" applyAlignment="1">
      <alignment horizontal="right"/>
    </xf>
    <xf numFmtId="164" fontId="2926" fillId="0" borderId="3171" xfId="0" applyNumberFormat="1" applyFont="1" applyBorder="1" applyAlignment="1">
      <alignment horizontal="right"/>
    </xf>
    <xf numFmtId="164" fontId="2682" fillId="0" borderId="2906" xfId="0" applyNumberFormat="1" applyFont="1" applyBorder="1" applyAlignment="1">
      <alignment horizontal="right"/>
    </xf>
    <xf numFmtId="164" fontId="2767" fillId="0" borderId="2998" xfId="0" applyNumberFormat="1" applyFont="1" applyBorder="1" applyAlignment="1">
      <alignment horizontal="right"/>
    </xf>
    <xf numFmtId="164" fontId="2848" fillId="0" borderId="3086" xfId="0" applyNumberFormat="1" applyFont="1" applyBorder="1" applyAlignment="1">
      <alignment horizontal="right"/>
    </xf>
    <xf numFmtId="164" fontId="2927" fillId="0" borderId="3172" xfId="0" applyNumberFormat="1" applyFont="1" applyBorder="1" applyAlignment="1">
      <alignment horizontal="right"/>
    </xf>
    <xf numFmtId="164" fontId="2683" fillId="0" borderId="2907" xfId="0" applyNumberFormat="1" applyFont="1" applyBorder="1" applyAlignment="1">
      <alignment horizontal="right"/>
    </xf>
    <xf numFmtId="164" fontId="2768" fillId="0" borderId="2999" xfId="0" applyNumberFormat="1" applyFont="1" applyBorder="1" applyAlignment="1">
      <alignment horizontal="right"/>
    </xf>
    <xf numFmtId="164" fontId="2849" fillId="0" borderId="3087" xfId="0" applyNumberFormat="1" applyFont="1" applyBorder="1" applyAlignment="1">
      <alignment horizontal="right"/>
    </xf>
    <xf numFmtId="164" fontId="2928" fillId="0" borderId="3173" xfId="0" applyNumberFormat="1" applyFont="1" applyBorder="1" applyAlignment="1">
      <alignment horizontal="right"/>
    </xf>
    <xf numFmtId="164" fontId="2684" fillId="0" borderId="2908" xfId="0" applyNumberFormat="1" applyFont="1" applyBorder="1" applyAlignment="1">
      <alignment horizontal="right"/>
    </xf>
    <xf numFmtId="164" fontId="2769" fillId="0" borderId="3000" xfId="0" applyNumberFormat="1" applyFont="1" applyBorder="1" applyAlignment="1">
      <alignment horizontal="right"/>
    </xf>
    <xf numFmtId="164" fontId="2850" fillId="0" borderId="3088" xfId="0" applyNumberFormat="1" applyFont="1" applyBorder="1" applyAlignment="1">
      <alignment horizontal="right"/>
    </xf>
    <xf numFmtId="164" fontId="2929" fillId="0" borderId="3174" xfId="0" applyNumberFormat="1" applyFont="1" applyBorder="1" applyAlignment="1">
      <alignment horizontal="right"/>
    </xf>
    <xf numFmtId="164" fontId="2685" fillId="0" borderId="2909" xfId="0" applyNumberFormat="1" applyFont="1" applyBorder="1" applyAlignment="1">
      <alignment horizontal="right"/>
    </xf>
    <xf numFmtId="164" fontId="2770" fillId="0" borderId="3001" xfId="0" applyNumberFormat="1" applyFont="1" applyBorder="1" applyAlignment="1">
      <alignment horizontal="right"/>
    </xf>
    <xf numFmtId="164" fontId="2851" fillId="0" borderId="3089" xfId="0" applyNumberFormat="1" applyFont="1" applyBorder="1" applyAlignment="1">
      <alignment horizontal="right"/>
    </xf>
    <xf numFmtId="164" fontId="2930" fillId="0" borderId="3175" xfId="0" applyNumberFormat="1" applyFont="1" applyBorder="1" applyAlignment="1">
      <alignment horizontal="right"/>
    </xf>
    <xf numFmtId="164" fontId="2642" fillId="0" borderId="2866" xfId="0" applyNumberFormat="1" applyFont="1" applyBorder="1" applyAlignment="1">
      <alignment horizontal="right"/>
    </xf>
    <xf numFmtId="164" fontId="2727" fillId="0" borderId="2958" xfId="0" applyNumberFormat="1" applyFont="1" applyBorder="1" applyAlignment="1">
      <alignment horizontal="right"/>
    </xf>
    <xf numFmtId="164" fontId="2812" fillId="0" borderId="3050" xfId="0" applyNumberFormat="1" applyFont="1" applyBorder="1" applyAlignment="1">
      <alignment horizontal="right"/>
    </xf>
    <xf numFmtId="164" fontId="2887" fillId="0" borderId="3132" xfId="0" applyNumberFormat="1" applyFont="1" applyBorder="1" applyAlignment="1">
      <alignment horizontal="right"/>
    </xf>
    <xf numFmtId="164" fontId="2691" fillId="0" borderId="2915" xfId="0" applyNumberFormat="1" applyFont="1" applyBorder="1" applyAlignment="1">
      <alignment horizontal="right"/>
    </xf>
    <xf numFmtId="164" fontId="2776" fillId="0" borderId="3007" xfId="0" applyNumberFormat="1" applyFont="1" applyBorder="1" applyAlignment="1">
      <alignment horizontal="right"/>
    </xf>
    <xf numFmtId="164" fontId="2855" fillId="0" borderId="3093" xfId="0" applyNumberFormat="1" applyFont="1" applyBorder="1" applyAlignment="1">
      <alignment horizontal="right"/>
    </xf>
    <xf numFmtId="164" fontId="2936" fillId="0" borderId="3181" xfId="0" applyNumberFormat="1" applyFont="1" applyBorder="1" applyAlignment="1">
      <alignment horizontal="right"/>
    </xf>
    <xf numFmtId="164" fontId="2692" fillId="0" borderId="2916" xfId="0" applyNumberFormat="1" applyFont="1" applyBorder="1" applyAlignment="1">
      <alignment horizontal="right"/>
    </xf>
    <xf numFmtId="164" fontId="2777" fillId="0" borderId="3008" xfId="0" applyNumberFormat="1" applyFont="1" applyBorder="1" applyAlignment="1">
      <alignment horizontal="right"/>
    </xf>
    <xf numFmtId="164" fontId="2856" fillId="0" borderId="3094" xfId="0" applyNumberFormat="1" applyFont="1" applyBorder="1" applyAlignment="1">
      <alignment horizontal="right"/>
    </xf>
    <xf numFmtId="164" fontId="2937" fillId="0" borderId="3182" xfId="0" applyNumberFormat="1" applyFont="1" applyBorder="1" applyAlignment="1">
      <alignment horizontal="right"/>
    </xf>
    <xf numFmtId="164" fontId="2693" fillId="0" borderId="2917" xfId="0" applyNumberFormat="1" applyFont="1" applyBorder="1" applyAlignment="1">
      <alignment horizontal="right"/>
    </xf>
    <xf numFmtId="164" fontId="2778" fillId="0" borderId="3009" xfId="0" applyNumberFormat="1" applyFont="1" applyBorder="1" applyAlignment="1">
      <alignment horizontal="right"/>
    </xf>
    <xf numFmtId="164" fontId="2857" fillId="0" borderId="3095" xfId="0" applyNumberFormat="1" applyFont="1" applyBorder="1" applyAlignment="1">
      <alignment horizontal="right"/>
    </xf>
    <xf numFmtId="164" fontId="2938" fillId="0" borderId="3183" xfId="0" applyNumberFormat="1" applyFont="1" applyBorder="1" applyAlignment="1">
      <alignment horizontal="right"/>
    </xf>
    <xf numFmtId="164" fontId="2694" fillId="0" borderId="2918" xfId="0" applyNumberFormat="1" applyFont="1" applyBorder="1" applyAlignment="1">
      <alignment horizontal="right"/>
    </xf>
    <xf numFmtId="164" fontId="2779" fillId="0" borderId="3010" xfId="0" applyNumberFormat="1" applyFont="1" applyBorder="1" applyAlignment="1">
      <alignment horizontal="right"/>
    </xf>
    <xf numFmtId="164" fontId="2858" fillId="0" borderId="3096" xfId="0" applyNumberFormat="1" applyFont="1" applyBorder="1" applyAlignment="1">
      <alignment horizontal="right"/>
    </xf>
    <xf numFmtId="164" fontId="2939" fillId="0" borderId="3184" xfId="0" applyNumberFormat="1" applyFont="1" applyBorder="1" applyAlignment="1">
      <alignment horizontal="right"/>
    </xf>
    <xf numFmtId="164" fontId="2695" fillId="0" borderId="2919" xfId="0" applyNumberFormat="1" applyFont="1" applyBorder="1" applyAlignment="1">
      <alignment horizontal="right"/>
    </xf>
    <xf numFmtId="164" fontId="2780" fillId="0" borderId="3011" xfId="0" applyNumberFormat="1" applyFont="1" applyBorder="1" applyAlignment="1">
      <alignment horizontal="right"/>
    </xf>
    <xf numFmtId="164" fontId="2859" fillId="0" borderId="3097" xfId="0" applyNumberFormat="1" applyFont="1" applyBorder="1" applyAlignment="1">
      <alignment horizontal="right"/>
    </xf>
    <xf numFmtId="164" fontId="2940" fillId="0" borderId="3185" xfId="0" applyNumberFormat="1" applyFont="1" applyBorder="1" applyAlignment="1">
      <alignment horizontal="right"/>
    </xf>
    <xf numFmtId="164" fontId="2696" fillId="0" borderId="2920" xfId="0" applyNumberFormat="1" applyFont="1" applyBorder="1" applyAlignment="1">
      <alignment horizontal="right"/>
    </xf>
    <xf numFmtId="164" fontId="2781" fillId="0" borderId="3012" xfId="0" applyNumberFormat="1" applyFont="1" applyBorder="1" applyAlignment="1">
      <alignment horizontal="right"/>
    </xf>
    <xf numFmtId="164" fontId="2860" fillId="0" borderId="3098" xfId="0" applyNumberFormat="1" applyFont="1" applyBorder="1" applyAlignment="1">
      <alignment horizontal="right"/>
    </xf>
    <xf numFmtId="164" fontId="2941" fillId="0" borderId="3186" xfId="0" applyNumberFormat="1" applyFont="1" applyBorder="1" applyAlignment="1">
      <alignment horizontal="right"/>
    </xf>
    <xf numFmtId="164" fontId="2697" fillId="0" borderId="2921" xfId="0" applyNumberFormat="1" applyFont="1" applyBorder="1" applyAlignment="1">
      <alignment horizontal="right"/>
    </xf>
    <xf numFmtId="164" fontId="2782" fillId="0" borderId="3013" xfId="0" applyNumberFormat="1" applyFont="1" applyBorder="1" applyAlignment="1">
      <alignment horizontal="right"/>
    </xf>
    <xf numFmtId="164" fontId="2861" fillId="0" borderId="3099" xfId="0" applyNumberFormat="1" applyFont="1" applyBorder="1" applyAlignment="1">
      <alignment horizontal="right"/>
    </xf>
    <xf numFmtId="164" fontId="2942" fillId="0" borderId="3187" xfId="0" applyNumberFormat="1" applyFont="1" applyBorder="1" applyAlignment="1">
      <alignment horizontal="right"/>
    </xf>
    <xf numFmtId="164" fontId="2698" fillId="0" borderId="2922" xfId="0" applyNumberFormat="1" applyFont="1" applyBorder="1" applyAlignment="1">
      <alignment horizontal="right"/>
    </xf>
    <xf numFmtId="164" fontId="2783" fillId="0" borderId="3014" xfId="0" applyNumberFormat="1" applyFont="1" applyBorder="1" applyAlignment="1">
      <alignment horizontal="right"/>
    </xf>
    <xf numFmtId="164" fontId="2862" fillId="0" borderId="3100" xfId="0" applyNumberFormat="1" applyFont="1" applyBorder="1" applyAlignment="1">
      <alignment horizontal="right"/>
    </xf>
    <xf numFmtId="164" fontId="2943" fillId="0" borderId="3188" xfId="0" applyNumberFormat="1" applyFont="1" applyBorder="1" applyAlignment="1">
      <alignment horizontal="right"/>
    </xf>
    <xf numFmtId="164" fontId="2699" fillId="0" borderId="2923" xfId="0" applyNumberFormat="1" applyFont="1" applyBorder="1" applyAlignment="1">
      <alignment horizontal="right"/>
    </xf>
    <xf numFmtId="164" fontId="2784" fillId="0" borderId="3015" xfId="0" applyNumberFormat="1" applyFont="1" applyBorder="1" applyAlignment="1">
      <alignment horizontal="right"/>
    </xf>
    <xf numFmtId="164" fontId="2863" fillId="0" borderId="3101" xfId="0" applyNumberFormat="1" applyFont="1" applyBorder="1" applyAlignment="1">
      <alignment horizontal="right"/>
    </xf>
    <xf numFmtId="164" fontId="2944" fillId="0" borderId="3189" xfId="0" applyNumberFormat="1" applyFont="1" applyBorder="1" applyAlignment="1">
      <alignment horizontal="right"/>
    </xf>
    <xf numFmtId="164" fontId="2700" fillId="0" borderId="2924" xfId="0" applyNumberFormat="1" applyFont="1" applyBorder="1" applyAlignment="1">
      <alignment horizontal="right"/>
    </xf>
    <xf numFmtId="164" fontId="2785" fillId="0" borderId="3016" xfId="0" applyNumberFormat="1" applyFont="1" applyBorder="1" applyAlignment="1">
      <alignment horizontal="right"/>
    </xf>
    <xf numFmtId="164" fontId="2864" fillId="0" borderId="3102" xfId="0" applyNumberFormat="1" applyFont="1" applyBorder="1" applyAlignment="1">
      <alignment horizontal="right"/>
    </xf>
    <xf numFmtId="164" fontId="2945" fillId="0" borderId="3190" xfId="0" applyNumberFormat="1" applyFont="1" applyBorder="1" applyAlignment="1">
      <alignment horizontal="right"/>
    </xf>
    <xf numFmtId="164" fontId="2701" fillId="0" borderId="2925" xfId="0" applyNumberFormat="1" applyFont="1" applyBorder="1" applyAlignment="1">
      <alignment horizontal="right"/>
    </xf>
    <xf numFmtId="164" fontId="2786" fillId="0" borderId="3017" xfId="0" applyNumberFormat="1" applyFont="1" applyBorder="1" applyAlignment="1">
      <alignment horizontal="right"/>
    </xf>
    <xf numFmtId="164" fontId="2865" fillId="0" borderId="3103" xfId="0" applyNumberFormat="1" applyFont="1" applyBorder="1" applyAlignment="1">
      <alignment horizontal="right"/>
    </xf>
    <xf numFmtId="164" fontId="2946" fillId="0" borderId="3191" xfId="0" applyNumberFormat="1" applyFont="1" applyBorder="1" applyAlignment="1">
      <alignment horizontal="right"/>
    </xf>
    <xf numFmtId="164" fontId="2702" fillId="0" borderId="2926" xfId="0" applyNumberFormat="1" applyFont="1" applyBorder="1" applyAlignment="1">
      <alignment horizontal="right"/>
    </xf>
    <xf numFmtId="164" fontId="2787" fillId="0" borderId="3018" xfId="0" applyNumberFormat="1" applyFont="1" applyBorder="1" applyAlignment="1">
      <alignment horizontal="right"/>
    </xf>
    <xf numFmtId="164" fontId="2866" fillId="0" borderId="3104" xfId="0" applyNumberFormat="1" applyFont="1" applyBorder="1" applyAlignment="1">
      <alignment horizontal="right"/>
    </xf>
    <xf numFmtId="164" fontId="2947" fillId="0" borderId="3192" xfId="0" applyNumberFormat="1" applyFont="1" applyBorder="1" applyAlignment="1">
      <alignment horizontal="right"/>
    </xf>
    <xf numFmtId="164" fontId="2703" fillId="0" borderId="2927" xfId="0" applyNumberFormat="1" applyFont="1" applyBorder="1" applyAlignment="1">
      <alignment horizontal="right"/>
    </xf>
    <xf numFmtId="164" fontId="2788" fillId="0" borderId="3019" xfId="0" applyNumberFormat="1" applyFont="1" applyBorder="1" applyAlignment="1">
      <alignment horizontal="right"/>
    </xf>
    <xf numFmtId="164" fontId="2867" fillId="0" borderId="3105" xfId="0" applyNumberFormat="1" applyFont="1" applyBorder="1" applyAlignment="1">
      <alignment horizontal="right"/>
    </xf>
    <xf numFmtId="164" fontId="2948" fillId="0" borderId="3193" xfId="0" applyNumberFormat="1" applyFont="1" applyBorder="1" applyAlignment="1">
      <alignment horizontal="right"/>
    </xf>
    <xf numFmtId="164" fontId="2704" fillId="0" borderId="2928" xfId="0" applyNumberFormat="1" applyFont="1" applyBorder="1" applyAlignment="1">
      <alignment horizontal="right"/>
    </xf>
    <xf numFmtId="164" fontId="2789" fillId="0" borderId="3020" xfId="0" applyNumberFormat="1" applyFont="1" applyBorder="1" applyAlignment="1">
      <alignment horizontal="right"/>
    </xf>
    <xf numFmtId="164" fontId="2868" fillId="0" borderId="3106" xfId="0" applyNumberFormat="1" applyFont="1" applyBorder="1" applyAlignment="1">
      <alignment horizontal="right"/>
    </xf>
    <xf numFmtId="164" fontId="2949" fillId="0" borderId="3194" xfId="0" applyNumberFormat="1" applyFont="1" applyBorder="1" applyAlignment="1">
      <alignment horizontal="right"/>
    </xf>
    <xf numFmtId="164" fontId="2643" fillId="0" borderId="2867" xfId="0" applyNumberFormat="1" applyFont="1" applyBorder="1" applyAlignment="1">
      <alignment horizontal="right"/>
    </xf>
    <xf numFmtId="164" fontId="2728" fillId="0" borderId="2959" xfId="0" applyNumberFormat="1" applyFont="1" applyBorder="1" applyAlignment="1">
      <alignment horizontal="right"/>
    </xf>
    <xf numFmtId="164" fontId="2813" fillId="0" borderId="3051" xfId="0" applyNumberFormat="1" applyFont="1" applyBorder="1" applyAlignment="1">
      <alignment horizontal="right"/>
    </xf>
    <xf numFmtId="164" fontId="2888" fillId="0" borderId="3133" xfId="0" applyNumberFormat="1" applyFont="1" applyBorder="1" applyAlignment="1">
      <alignment horizontal="right"/>
    </xf>
    <xf numFmtId="164" fontId="2710" fillId="0" borderId="2934" xfId="0" applyNumberFormat="1" applyFont="1" applyBorder="1" applyAlignment="1">
      <alignment horizontal="right"/>
    </xf>
    <xf numFmtId="164" fontId="2795" fillId="0" borderId="3026" xfId="0" applyNumberFormat="1" applyFont="1" applyBorder="1" applyAlignment="1">
      <alignment horizontal="right"/>
    </xf>
    <xf numFmtId="164" fontId="2872" fillId="0" borderId="3110" xfId="0" applyNumberFormat="1" applyFont="1" applyBorder="1" applyAlignment="1">
      <alignment horizontal="right"/>
    </xf>
    <xf numFmtId="164" fontId="2955" fillId="0" borderId="3200" xfId="0" applyNumberFormat="1" applyFont="1" applyBorder="1" applyAlignment="1">
      <alignment horizontal="right"/>
    </xf>
    <xf numFmtId="164" fontId="2711" fillId="0" borderId="2935" xfId="0" applyNumberFormat="1" applyFont="1" applyBorder="1" applyAlignment="1">
      <alignment horizontal="right"/>
    </xf>
    <xf numFmtId="164" fontId="2796" fillId="0" borderId="3027" xfId="0" applyNumberFormat="1" applyFont="1" applyBorder="1" applyAlignment="1">
      <alignment horizontal="right"/>
    </xf>
    <xf numFmtId="164" fontId="2873" fillId="0" borderId="3111" xfId="0" applyNumberFormat="1" applyFont="1" applyBorder="1" applyAlignment="1">
      <alignment horizontal="right"/>
    </xf>
    <xf numFmtId="164" fontId="2956" fillId="0" borderId="3201" xfId="0" applyNumberFormat="1" applyFont="1" applyBorder="1" applyAlignment="1">
      <alignment horizontal="right"/>
    </xf>
    <xf numFmtId="164" fontId="2712" fillId="0" borderId="2936" xfId="0" applyNumberFormat="1" applyFont="1" applyBorder="1" applyAlignment="1">
      <alignment horizontal="right"/>
    </xf>
    <xf numFmtId="164" fontId="2797" fillId="0" borderId="3028" xfId="0" applyNumberFormat="1" applyFont="1" applyBorder="1" applyAlignment="1">
      <alignment horizontal="right"/>
    </xf>
    <xf numFmtId="164" fontId="2874" fillId="0" borderId="3112" xfId="0" applyNumberFormat="1" applyFont="1" applyBorder="1" applyAlignment="1">
      <alignment horizontal="right"/>
    </xf>
    <xf numFmtId="164" fontId="2957" fillId="0" borderId="3202" xfId="0" applyNumberFormat="1" applyFont="1" applyBorder="1" applyAlignment="1">
      <alignment horizontal="right"/>
    </xf>
    <xf numFmtId="164" fontId="2713" fillId="0" borderId="2937" xfId="0" applyNumberFormat="1" applyFont="1" applyBorder="1" applyAlignment="1">
      <alignment horizontal="right"/>
    </xf>
    <xf numFmtId="164" fontId="2798" fillId="0" borderId="3029" xfId="0" applyNumberFormat="1" applyFont="1" applyBorder="1" applyAlignment="1">
      <alignment horizontal="right"/>
    </xf>
    <xf numFmtId="164" fontId="2875" fillId="0" borderId="3113" xfId="0" applyNumberFormat="1" applyFont="1" applyBorder="1" applyAlignment="1">
      <alignment horizontal="right"/>
    </xf>
    <xf numFmtId="164" fontId="2958" fillId="0" borderId="3203" xfId="0" applyNumberFormat="1" applyFont="1" applyBorder="1" applyAlignment="1">
      <alignment horizontal="right"/>
    </xf>
    <xf numFmtId="164" fontId="2714" fillId="0" borderId="2938" xfId="0" applyNumberFormat="1" applyFont="1" applyBorder="1" applyAlignment="1">
      <alignment horizontal="right"/>
    </xf>
    <xf numFmtId="164" fontId="2799" fillId="0" borderId="3030" xfId="0" applyNumberFormat="1" applyFont="1" applyBorder="1" applyAlignment="1">
      <alignment horizontal="right"/>
    </xf>
    <xf numFmtId="164" fontId="2876" fillId="0" borderId="3114" xfId="0" applyNumberFormat="1" applyFont="1" applyBorder="1" applyAlignment="1">
      <alignment horizontal="right"/>
    </xf>
    <xf numFmtId="164" fontId="2959" fillId="0" borderId="3204" xfId="0" applyNumberFormat="1" applyFont="1" applyBorder="1" applyAlignment="1">
      <alignment horizontal="right"/>
    </xf>
    <xf numFmtId="164" fontId="2715" fillId="0" borderId="2939" xfId="0" applyNumberFormat="1" applyFont="1" applyBorder="1" applyAlignment="1">
      <alignment horizontal="right"/>
    </xf>
    <xf numFmtId="164" fontId="2800" fillId="0" borderId="3031" xfId="0" applyNumberFormat="1" applyFont="1" applyBorder="1" applyAlignment="1">
      <alignment horizontal="right"/>
    </xf>
    <xf numFmtId="164" fontId="2877" fillId="0" borderId="3115" xfId="0" applyNumberFormat="1" applyFont="1" applyBorder="1" applyAlignment="1">
      <alignment horizontal="right"/>
    </xf>
    <xf numFmtId="164" fontId="2960" fillId="0" borderId="3205" xfId="0" applyNumberFormat="1" applyFont="1" applyBorder="1" applyAlignment="1">
      <alignment horizontal="right"/>
    </xf>
    <xf numFmtId="164" fontId="1" fillId="0" borderId="2940" xfId="0" applyNumberFormat="1" applyFont="1" applyBorder="1" applyAlignment="1">
      <alignment horizontal="right"/>
    </xf>
    <xf numFmtId="164" fontId="1" fillId="0" borderId="3032" xfId="0" applyNumberFormat="1" applyFont="1" applyBorder="1" applyAlignment="1">
      <alignment horizontal="right"/>
    </xf>
    <xf numFmtId="164" fontId="1" fillId="0" borderId="3116" xfId="0" applyNumberFormat="1" applyFont="1" applyBorder="1" applyAlignment="1">
      <alignment horizontal="right"/>
    </xf>
    <xf numFmtId="164" fontId="1" fillId="0" borderId="3206" xfId="0" applyNumberFormat="1" applyFont="1" applyBorder="1" applyAlignment="1">
      <alignment horizontal="right"/>
    </xf>
    <xf numFmtId="164" fontId="1" fillId="0" borderId="2941" xfId="0" applyNumberFormat="1" applyFont="1" applyBorder="1" applyAlignment="1">
      <alignment horizontal="right"/>
    </xf>
    <xf numFmtId="164" fontId="1" fillId="0" borderId="3033" xfId="0" applyNumberFormat="1" applyFont="1" applyBorder="1" applyAlignment="1">
      <alignment horizontal="right"/>
    </xf>
    <xf numFmtId="164" fontId="1" fillId="0" borderId="3117" xfId="0" applyNumberFormat="1" applyFont="1" applyBorder="1" applyAlignment="1">
      <alignment horizontal="right"/>
    </xf>
    <xf numFmtId="164" fontId="1" fillId="0" borderId="3207" xfId="0" applyNumberFormat="1" applyFont="1" applyBorder="1" applyAlignment="1">
      <alignment horizontal="right"/>
    </xf>
    <xf numFmtId="164" fontId="1" fillId="0" borderId="2942" xfId="0" applyNumberFormat="1" applyFont="1" applyBorder="1" applyAlignment="1">
      <alignment horizontal="right"/>
    </xf>
    <xf numFmtId="164" fontId="1" fillId="0" borderId="3034" xfId="0" applyNumberFormat="1" applyFont="1" applyBorder="1" applyAlignment="1">
      <alignment horizontal="right"/>
    </xf>
    <xf numFmtId="164" fontId="1" fillId="0" borderId="3118" xfId="0" applyNumberFormat="1" applyFont="1" applyBorder="1" applyAlignment="1">
      <alignment horizontal="right"/>
    </xf>
    <xf numFmtId="164" fontId="1" fillId="0" borderId="3208" xfId="0" applyNumberFormat="1" applyFont="1" applyBorder="1" applyAlignment="1">
      <alignment horizontal="right"/>
    </xf>
    <xf numFmtId="164" fontId="1" fillId="0" borderId="2943" xfId="0" applyNumberFormat="1" applyFont="1" applyBorder="1" applyAlignment="1">
      <alignment horizontal="right"/>
    </xf>
    <xf numFmtId="164" fontId="1" fillId="0" borderId="3035" xfId="0" applyNumberFormat="1" applyFont="1" applyBorder="1" applyAlignment="1">
      <alignment horizontal="right"/>
    </xf>
    <xf numFmtId="164" fontId="1" fillId="0" borderId="3119" xfId="0" applyNumberFormat="1" applyFont="1" applyBorder="1" applyAlignment="1">
      <alignment horizontal="right"/>
    </xf>
    <xf numFmtId="164" fontId="1" fillId="0" borderId="3209" xfId="0" applyNumberFormat="1" applyFont="1" applyBorder="1" applyAlignment="1">
      <alignment horizontal="right"/>
    </xf>
    <xf numFmtId="164" fontId="1" fillId="0" borderId="2944" xfId="0" applyNumberFormat="1" applyFont="1" applyBorder="1" applyAlignment="1">
      <alignment horizontal="right"/>
    </xf>
    <xf numFmtId="164" fontId="1" fillId="0" borderId="3036" xfId="0" applyNumberFormat="1" applyFont="1" applyBorder="1" applyAlignment="1">
      <alignment horizontal="right"/>
    </xf>
    <xf numFmtId="164" fontId="1" fillId="0" borderId="3120" xfId="0" applyNumberFormat="1" applyFont="1" applyBorder="1" applyAlignment="1">
      <alignment horizontal="right"/>
    </xf>
    <xf numFmtId="164" fontId="1" fillId="0" borderId="3210" xfId="0" applyNumberFormat="1" applyFont="1" applyBorder="1" applyAlignment="1">
      <alignment horizontal="right"/>
    </xf>
    <xf numFmtId="164" fontId="1" fillId="0" borderId="2945" xfId="0" applyNumberFormat="1" applyFont="1" applyBorder="1" applyAlignment="1">
      <alignment horizontal="right"/>
    </xf>
    <xf numFmtId="164" fontId="1" fillId="0" borderId="3037" xfId="0" applyNumberFormat="1" applyFont="1" applyBorder="1" applyAlignment="1">
      <alignment horizontal="right"/>
    </xf>
    <xf numFmtId="164" fontId="1" fillId="0" borderId="3121" xfId="0" applyNumberFormat="1" applyFont="1" applyBorder="1" applyAlignment="1">
      <alignment horizontal="right"/>
    </xf>
    <xf numFmtId="164" fontId="1" fillId="0" borderId="3211" xfId="0" applyNumberFormat="1" applyFont="1" applyBorder="1" applyAlignment="1">
      <alignment horizontal="right"/>
    </xf>
    <xf numFmtId="164" fontId="1" fillId="0" borderId="2946" xfId="0" applyNumberFormat="1" applyFont="1" applyBorder="1" applyAlignment="1">
      <alignment horizontal="right"/>
    </xf>
    <xf numFmtId="164" fontId="1" fillId="0" borderId="3038" xfId="0" applyNumberFormat="1" applyFont="1" applyBorder="1" applyAlignment="1">
      <alignment horizontal="right"/>
    </xf>
    <xf numFmtId="164" fontId="1" fillId="0" borderId="3122" xfId="0" applyNumberFormat="1" applyFont="1" applyBorder="1" applyAlignment="1">
      <alignment horizontal="right"/>
    </xf>
    <xf numFmtId="164" fontId="1" fillId="0" borderId="3212" xfId="0" applyNumberFormat="1" applyFont="1" applyBorder="1" applyAlignment="1">
      <alignment horizontal="right"/>
    </xf>
    <xf numFmtId="164" fontId="2716" fillId="0" borderId="2947" xfId="0" applyNumberFormat="1" applyFont="1" applyBorder="1" applyAlignment="1">
      <alignment horizontal="right"/>
    </xf>
    <xf numFmtId="164" fontId="2801" fillId="0" borderId="3039" xfId="0" applyNumberFormat="1" applyFont="1" applyBorder="1" applyAlignment="1">
      <alignment horizontal="right"/>
    </xf>
    <xf numFmtId="164" fontId="2878" fillId="0" borderId="3123" xfId="0" applyNumberFormat="1" applyFont="1" applyBorder="1" applyAlignment="1">
      <alignment horizontal="right"/>
    </xf>
    <xf numFmtId="164" fontId="2961" fillId="0" borderId="3213" xfId="0" applyNumberFormat="1" applyFont="1" applyBorder="1" applyAlignment="1">
      <alignment horizontal="right"/>
    </xf>
    <xf numFmtId="164" fontId="2644" fillId="0" borderId="2868" xfId="0" applyNumberFormat="1" applyFont="1" applyBorder="1" applyAlignment="1">
      <alignment horizontal="right"/>
    </xf>
    <xf numFmtId="164" fontId="2729" fillId="0" borderId="2960" xfId="0" applyNumberFormat="1" applyFont="1" applyBorder="1" applyAlignment="1">
      <alignment horizontal="right"/>
    </xf>
    <xf numFmtId="164" fontId="2814" fillId="0" borderId="3052" xfId="0" applyNumberFormat="1" applyFont="1" applyBorder="1" applyAlignment="1">
      <alignment horizontal="right"/>
    </xf>
    <xf numFmtId="164" fontId="2889" fillId="0" borderId="3134" xfId="0" applyNumberFormat="1" applyFont="1" applyBorder="1" applyAlignment="1">
      <alignment horizontal="right"/>
    </xf>
    <xf numFmtId="164" fontId="2722" fillId="0" borderId="2953" xfId="0" applyNumberFormat="1" applyFont="1" applyBorder="1" applyAlignment="1">
      <alignment horizontal="right"/>
    </xf>
    <xf numFmtId="164" fontId="2807" fillId="0" borderId="3045" xfId="0" applyNumberFormat="1" applyFont="1" applyBorder="1" applyAlignment="1">
      <alignment horizontal="right"/>
    </xf>
    <xf numFmtId="164" fontId="2882" fillId="0" borderId="3127" xfId="0" applyNumberFormat="1" applyFont="1" applyBorder="1" applyAlignment="1">
      <alignment horizontal="right"/>
    </xf>
    <xf numFmtId="164" fontId="2967" fillId="0" borderId="3219" xfId="0" applyNumberFormat="1" applyFont="1" applyBorder="1" applyAlignment="1">
      <alignment horizontal="right"/>
    </xf>
    <xf numFmtId="164" fontId="2723" fillId="0" borderId="2954" xfId="0" applyNumberFormat="1" applyFont="1" applyBorder="1" applyAlignment="1">
      <alignment horizontal="right"/>
    </xf>
    <xf numFmtId="164" fontId="2808" fillId="0" borderId="3046" xfId="0" applyNumberFormat="1" applyFont="1" applyBorder="1" applyAlignment="1">
      <alignment horizontal="right"/>
    </xf>
    <xf numFmtId="164" fontId="2883" fillId="0" borderId="3128" xfId="0" applyNumberFormat="1" applyFont="1" applyBorder="1" applyAlignment="1">
      <alignment horizontal="right"/>
    </xf>
    <xf numFmtId="164" fontId="2968" fillId="0" borderId="3220" xfId="0" applyNumberFormat="1" applyFont="1" applyBorder="1" applyAlignment="1">
      <alignment horizontal="right"/>
    </xf>
    <xf numFmtId="164" fontId="2724" fillId="0" borderId="2955" xfId="0" applyNumberFormat="1" applyFont="1" applyBorder="1" applyAlignment="1">
      <alignment horizontal="right"/>
    </xf>
    <xf numFmtId="164" fontId="2809" fillId="0" borderId="3047" xfId="0" applyNumberFormat="1" applyFont="1" applyBorder="1" applyAlignment="1">
      <alignment horizontal="right"/>
    </xf>
    <xf numFmtId="164" fontId="2884" fillId="0" borderId="3129" xfId="0" applyNumberFormat="1" applyFont="1" applyBorder="1" applyAlignment="1">
      <alignment horizontal="right"/>
    </xf>
    <xf numFmtId="164" fontId="2969" fillId="0" borderId="3221" xfId="0" applyNumberFormat="1" applyFont="1" applyBorder="1" applyAlignment="1">
      <alignment horizontal="right"/>
    </xf>
    <xf numFmtId="164" fontId="2725" fillId="0" borderId="2956" xfId="0" applyNumberFormat="1" applyFont="1" applyBorder="1" applyAlignment="1">
      <alignment horizontal="right"/>
    </xf>
    <xf numFmtId="164" fontId="2810" fillId="0" borderId="3048" xfId="0" applyNumberFormat="1" applyFont="1" applyBorder="1" applyAlignment="1">
      <alignment horizontal="right"/>
    </xf>
    <xf numFmtId="164" fontId="2885" fillId="0" borderId="3130" xfId="0" applyNumberFormat="1" applyFont="1" applyBorder="1" applyAlignment="1">
      <alignment horizontal="right"/>
    </xf>
    <xf numFmtId="164" fontId="2970" fillId="0" borderId="3222" xfId="0" applyNumberFormat="1" applyFont="1" applyBorder="1" applyAlignment="1">
      <alignment horizontal="right"/>
    </xf>
    <xf numFmtId="164" fontId="2645" fillId="0" borderId="2869" xfId="0" applyNumberFormat="1" applyFont="1" applyBorder="1" applyAlignment="1">
      <alignment horizontal="right"/>
    </xf>
    <xf numFmtId="164" fontId="2730" fillId="0" borderId="2961" xfId="0" applyNumberFormat="1" applyFont="1" applyBorder="1" applyAlignment="1">
      <alignment horizontal="right"/>
    </xf>
    <xf numFmtId="164" fontId="2815" fillId="0" borderId="3053" xfId="0" applyNumberFormat="1" applyFont="1" applyBorder="1" applyAlignment="1">
      <alignment horizontal="right"/>
    </xf>
    <xf numFmtId="164" fontId="2890" fillId="0" borderId="3135" xfId="0" applyNumberFormat="1" applyFont="1" applyBorder="1" applyAlignment="1">
      <alignment horizontal="right"/>
    </xf>
    <xf numFmtId="164" fontId="5184" fillId="0" borderId="5520" xfId="0" applyNumberFormat="1" applyFont="1" applyBorder="1" applyAlignment="1">
      <alignment horizontal="right"/>
    </xf>
    <xf numFmtId="164" fontId="5223" fillId="0" borderId="5559" xfId="0" applyNumberFormat="1" applyFont="1" applyBorder="1" applyAlignment="1">
      <alignment horizontal="right"/>
    </xf>
    <xf numFmtId="164" fontId="5260" fillId="0" borderId="5596" xfId="0" applyNumberFormat="1" applyFont="1" applyBorder="1" applyAlignment="1">
      <alignment horizontal="right"/>
    </xf>
    <xf numFmtId="164" fontId="5297" fillId="0" borderId="5633" xfId="0" applyNumberFormat="1" applyFont="1" applyBorder="1" applyAlignment="1">
      <alignment horizontal="right"/>
    </xf>
    <xf numFmtId="164" fontId="5185" fillId="0" borderId="5521" xfId="0" applyNumberFormat="1" applyFont="1" applyBorder="1" applyAlignment="1">
      <alignment horizontal="right"/>
    </xf>
    <xf numFmtId="164" fontId="5224" fillId="0" borderId="5560" xfId="0" applyNumberFormat="1" applyFont="1" applyBorder="1" applyAlignment="1">
      <alignment horizontal="right"/>
    </xf>
    <xf numFmtId="164" fontId="5261" fillId="0" borderId="5597" xfId="0" applyNumberFormat="1" applyFont="1" applyBorder="1" applyAlignment="1">
      <alignment horizontal="right"/>
    </xf>
    <xf numFmtId="164" fontId="5298" fillId="0" borderId="5634" xfId="0" applyNumberFormat="1" applyFont="1" applyBorder="1" applyAlignment="1">
      <alignment horizontal="right"/>
    </xf>
    <xf numFmtId="164" fontId="5186" fillId="0" borderId="5522" xfId="0" applyNumberFormat="1" applyFont="1" applyBorder="1" applyAlignment="1">
      <alignment horizontal="right"/>
    </xf>
    <xf numFmtId="164" fontId="5225" fillId="0" borderId="5561" xfId="0" applyNumberFormat="1" applyFont="1" applyBorder="1" applyAlignment="1">
      <alignment horizontal="right"/>
    </xf>
    <xf numFmtId="164" fontId="5262" fillId="0" borderId="5598" xfId="0" applyNumberFormat="1" applyFont="1" applyBorder="1" applyAlignment="1">
      <alignment horizontal="right"/>
    </xf>
    <xf numFmtId="164" fontId="5299" fillId="0" borderId="5635" xfId="0" applyNumberFormat="1" applyFont="1" applyBorder="1" applyAlignment="1">
      <alignment horizontal="right"/>
    </xf>
    <xf numFmtId="164" fontId="5187" fillId="0" borderId="5523" xfId="0" applyNumberFormat="1" applyFont="1" applyBorder="1" applyAlignment="1">
      <alignment horizontal="right"/>
    </xf>
    <xf numFmtId="164" fontId="5226" fillId="0" borderId="5562" xfId="0" applyNumberFormat="1" applyFont="1" applyBorder="1" applyAlignment="1">
      <alignment horizontal="right"/>
    </xf>
    <xf numFmtId="164" fontId="5263" fillId="0" borderId="5599" xfId="0" applyNumberFormat="1" applyFont="1" applyBorder="1" applyAlignment="1">
      <alignment horizontal="right"/>
    </xf>
    <xf numFmtId="164" fontId="5300" fillId="0" borderId="5636" xfId="0" applyNumberFormat="1" applyFont="1" applyBorder="1" applyAlignment="1">
      <alignment horizontal="right"/>
    </xf>
    <xf numFmtId="164" fontId="5188" fillId="0" borderId="5524" xfId="0" applyNumberFormat="1" applyFont="1" applyBorder="1" applyAlignment="1">
      <alignment horizontal="right"/>
    </xf>
    <xf numFmtId="164" fontId="5227" fillId="0" borderId="5563" xfId="0" applyNumberFormat="1" applyFont="1" applyBorder="1" applyAlignment="1">
      <alignment horizontal="right"/>
    </xf>
    <xf numFmtId="164" fontId="5264" fillId="0" borderId="5600" xfId="0" applyNumberFormat="1" applyFont="1" applyBorder="1" applyAlignment="1">
      <alignment horizontal="right"/>
    </xf>
    <xf numFmtId="164" fontId="5301" fillId="0" borderId="5637" xfId="0" applyNumberFormat="1" applyFont="1" applyBorder="1" applyAlignment="1">
      <alignment horizontal="right"/>
    </xf>
    <xf numFmtId="164" fontId="5189" fillId="0" borderId="5525" xfId="0" applyNumberFormat="1" applyFont="1" applyBorder="1" applyAlignment="1">
      <alignment horizontal="right"/>
    </xf>
    <xf numFmtId="164" fontId="5228" fillId="0" borderId="5564" xfId="0" applyNumberFormat="1" applyFont="1" applyBorder="1" applyAlignment="1">
      <alignment horizontal="right"/>
    </xf>
    <xf numFmtId="164" fontId="5265" fillId="0" borderId="5601" xfId="0" applyNumberFormat="1" applyFont="1" applyBorder="1" applyAlignment="1">
      <alignment horizontal="right"/>
    </xf>
    <xf numFmtId="164" fontId="5302" fillId="0" borderId="5638" xfId="0" applyNumberFormat="1" applyFont="1" applyBorder="1" applyAlignment="1">
      <alignment horizontal="right"/>
    </xf>
    <xf numFmtId="164" fontId="5190" fillId="0" borderId="5526" xfId="0" applyNumberFormat="1" applyFont="1" applyBorder="1" applyAlignment="1">
      <alignment horizontal="right"/>
    </xf>
    <xf numFmtId="164" fontId="5229" fillId="0" borderId="5565" xfId="0" applyNumberFormat="1" applyFont="1" applyBorder="1" applyAlignment="1">
      <alignment horizontal="right"/>
    </xf>
    <xf numFmtId="164" fontId="5266" fillId="0" borderId="5602" xfId="0" applyNumberFormat="1" applyFont="1" applyBorder="1" applyAlignment="1">
      <alignment horizontal="right"/>
    </xf>
    <xf numFmtId="164" fontId="5303" fillId="0" borderId="5639" xfId="0" applyNumberFormat="1" applyFont="1" applyBorder="1" applyAlignment="1">
      <alignment horizontal="right"/>
    </xf>
    <xf numFmtId="164" fontId="5191" fillId="0" borderId="5527" xfId="0" applyNumberFormat="1" applyFont="1" applyBorder="1" applyAlignment="1">
      <alignment horizontal="right"/>
    </xf>
    <xf numFmtId="164" fontId="5230" fillId="0" borderId="5566" xfId="0" applyNumberFormat="1" applyFont="1" applyBorder="1" applyAlignment="1">
      <alignment horizontal="right"/>
    </xf>
    <xf numFmtId="164" fontId="5267" fillId="0" borderId="5603" xfId="0" applyNumberFormat="1" applyFont="1" applyBorder="1" applyAlignment="1">
      <alignment horizontal="right"/>
    </xf>
    <xf numFmtId="164" fontId="5304" fillId="0" borderId="5640" xfId="0" applyNumberFormat="1" applyFont="1" applyBorder="1" applyAlignment="1">
      <alignment horizontal="right"/>
    </xf>
    <xf numFmtId="164" fontId="5192" fillId="0" borderId="5528" xfId="0" applyNumberFormat="1" applyFont="1" applyBorder="1" applyAlignment="1">
      <alignment horizontal="right"/>
    </xf>
    <xf numFmtId="164" fontId="5231" fillId="0" borderId="5567" xfId="0" applyNumberFormat="1" applyFont="1" applyBorder="1" applyAlignment="1">
      <alignment horizontal="right"/>
    </xf>
    <xf numFmtId="164" fontId="5268" fillId="0" borderId="5604" xfId="0" applyNumberFormat="1" applyFont="1" applyBorder="1" applyAlignment="1">
      <alignment horizontal="right"/>
    </xf>
    <xf numFmtId="164" fontId="5305" fillId="0" borderId="5641" xfId="0" applyNumberFormat="1" applyFont="1" applyBorder="1" applyAlignment="1">
      <alignment horizontal="right"/>
    </xf>
    <xf numFmtId="164" fontId="5193" fillId="0" borderId="5529" xfId="0" applyNumberFormat="1" applyFont="1" applyBorder="1" applyAlignment="1">
      <alignment horizontal="right"/>
    </xf>
    <xf numFmtId="164" fontId="5232" fillId="0" borderId="5568" xfId="0" applyNumberFormat="1" applyFont="1" applyBorder="1" applyAlignment="1">
      <alignment horizontal="right"/>
    </xf>
    <xf numFmtId="164" fontId="5269" fillId="0" borderId="5605" xfId="0" applyNumberFormat="1" applyFont="1" applyBorder="1" applyAlignment="1">
      <alignment horizontal="right"/>
    </xf>
    <xf numFmtId="164" fontId="5306" fillId="0" borderId="5642" xfId="0" applyNumberFormat="1" applyFont="1" applyBorder="1" applyAlignment="1">
      <alignment horizontal="right"/>
    </xf>
    <xf numFmtId="164" fontId="5194" fillId="0" borderId="5530" xfId="0" applyNumberFormat="1" applyFont="1" applyBorder="1" applyAlignment="1">
      <alignment horizontal="right"/>
    </xf>
    <xf numFmtId="164" fontId="5233" fillId="0" borderId="5569" xfId="0" applyNumberFormat="1" applyFont="1" applyBorder="1" applyAlignment="1">
      <alignment horizontal="right"/>
    </xf>
    <xf numFmtId="164" fontId="5270" fillId="0" borderId="5606" xfId="0" applyNumberFormat="1" applyFont="1" applyBorder="1" applyAlignment="1">
      <alignment horizontal="right"/>
    </xf>
    <xf numFmtId="164" fontId="5307" fillId="0" borderId="5643" xfId="0" applyNumberFormat="1" applyFont="1" applyBorder="1" applyAlignment="1">
      <alignment horizontal="right"/>
    </xf>
    <xf numFmtId="164" fontId="5195" fillId="0" borderId="5531" xfId="0" applyNumberFormat="1" applyFont="1" applyBorder="1" applyAlignment="1">
      <alignment horizontal="right"/>
    </xf>
    <xf numFmtId="164" fontId="5234" fillId="0" borderId="5570" xfId="0" applyNumberFormat="1" applyFont="1" applyBorder="1" applyAlignment="1">
      <alignment horizontal="right"/>
    </xf>
    <xf numFmtId="164" fontId="5271" fillId="0" borderId="5607" xfId="0" applyNumberFormat="1" applyFont="1" applyBorder="1" applyAlignment="1">
      <alignment horizontal="right"/>
    </xf>
    <xf numFmtId="164" fontId="5308" fillId="0" borderId="5644" xfId="0" applyNumberFormat="1" applyFont="1" applyBorder="1" applyAlignment="1">
      <alignment horizontal="right"/>
    </xf>
    <xf numFmtId="164" fontId="5196" fillId="0" borderId="5532" xfId="0" applyNumberFormat="1" applyFont="1" applyBorder="1" applyAlignment="1">
      <alignment horizontal="right"/>
    </xf>
    <xf numFmtId="164" fontId="5235" fillId="0" borderId="5571" xfId="0" applyNumberFormat="1" applyFont="1" applyBorder="1" applyAlignment="1">
      <alignment horizontal="right"/>
    </xf>
    <xf numFmtId="164" fontId="5272" fillId="0" borderId="5608" xfId="0" applyNumberFormat="1" applyFont="1" applyBorder="1" applyAlignment="1">
      <alignment horizontal="right"/>
    </xf>
    <xf numFmtId="164" fontId="5309" fillId="0" borderId="5645" xfId="0" applyNumberFormat="1" applyFont="1" applyBorder="1" applyAlignment="1">
      <alignment horizontal="right"/>
    </xf>
    <xf numFmtId="164" fontId="5177" fillId="0" borderId="5513" xfId="0" applyNumberFormat="1" applyFont="1" applyBorder="1" applyAlignment="1">
      <alignment horizontal="right"/>
    </xf>
    <xf numFmtId="164" fontId="5216" fillId="0" borderId="5552" xfId="0" applyNumberFormat="1" applyFont="1" applyBorder="1" applyAlignment="1">
      <alignment horizontal="right"/>
    </xf>
    <xf numFmtId="164" fontId="5255" fillId="0" borderId="5591" xfId="0" applyNumberFormat="1" applyFont="1" applyBorder="1" applyAlignment="1">
      <alignment horizontal="right"/>
    </xf>
    <xf numFmtId="164" fontId="5290" fillId="0" borderId="5626" xfId="0" applyNumberFormat="1" applyFont="1" applyBorder="1" applyAlignment="1">
      <alignment horizontal="right"/>
    </xf>
    <xf numFmtId="164" fontId="5202" fillId="0" borderId="5538" xfId="0" applyNumberFormat="1" applyFont="1" applyBorder="1" applyAlignment="1">
      <alignment horizontal="right"/>
    </xf>
    <xf numFmtId="164" fontId="5241" fillId="0" borderId="5577" xfId="0" applyNumberFormat="1" applyFont="1" applyBorder="1" applyAlignment="1">
      <alignment horizontal="right"/>
    </xf>
    <xf numFmtId="164" fontId="5276" fillId="0" borderId="5612" xfId="0" applyNumberFormat="1" applyFont="1" applyBorder="1" applyAlignment="1">
      <alignment horizontal="right"/>
    </xf>
    <xf numFmtId="164" fontId="5315" fillId="0" borderId="5651" xfId="0" applyNumberFormat="1" applyFont="1" applyBorder="1" applyAlignment="1">
      <alignment horizontal="right"/>
    </xf>
    <xf numFmtId="164" fontId="5203" fillId="0" borderId="5539" xfId="0" applyNumberFormat="1" applyFont="1" applyBorder="1" applyAlignment="1">
      <alignment horizontal="right"/>
    </xf>
    <xf numFmtId="164" fontId="5242" fillId="0" borderId="5578" xfId="0" applyNumberFormat="1" applyFont="1" applyBorder="1" applyAlignment="1">
      <alignment horizontal="right"/>
    </xf>
    <xf numFmtId="164" fontId="5277" fillId="0" borderId="5613" xfId="0" applyNumberFormat="1" applyFont="1" applyBorder="1" applyAlignment="1">
      <alignment horizontal="right"/>
    </xf>
    <xf numFmtId="164" fontId="5316" fillId="0" borderId="5652" xfId="0" applyNumberFormat="1" applyFont="1" applyBorder="1" applyAlignment="1">
      <alignment horizontal="right"/>
    </xf>
    <xf numFmtId="164" fontId="5204" fillId="0" borderId="5540" xfId="0" applyNumberFormat="1" applyFont="1" applyBorder="1" applyAlignment="1">
      <alignment horizontal="right"/>
    </xf>
    <xf numFmtId="164" fontId="5243" fillId="0" borderId="5579" xfId="0" applyNumberFormat="1" applyFont="1" applyBorder="1" applyAlignment="1">
      <alignment horizontal="right"/>
    </xf>
    <xf numFmtId="164" fontId="5278" fillId="0" borderId="5614" xfId="0" applyNumberFormat="1" applyFont="1" applyBorder="1" applyAlignment="1">
      <alignment horizontal="right"/>
    </xf>
    <xf numFmtId="164" fontId="5317" fillId="0" borderId="5653" xfId="0" applyNumberFormat="1" applyFont="1" applyBorder="1" applyAlignment="1">
      <alignment horizontal="right"/>
    </xf>
    <xf numFmtId="164" fontId="5205" fillId="0" borderId="5541" xfId="0" applyNumberFormat="1" applyFont="1" applyBorder="1" applyAlignment="1">
      <alignment horizontal="right"/>
    </xf>
    <xf numFmtId="164" fontId="5244" fillId="0" borderId="5580" xfId="0" applyNumberFormat="1" applyFont="1" applyBorder="1" applyAlignment="1">
      <alignment horizontal="right"/>
    </xf>
    <xf numFmtId="164" fontId="5279" fillId="0" borderId="5615" xfId="0" applyNumberFormat="1" applyFont="1" applyBorder="1" applyAlignment="1">
      <alignment horizontal="right"/>
    </xf>
    <xf numFmtId="164" fontId="5318" fillId="0" borderId="5654" xfId="0" applyNumberFormat="1" applyFont="1" applyBorder="1" applyAlignment="1">
      <alignment horizontal="right"/>
    </xf>
    <xf numFmtId="164" fontId="5206" fillId="0" borderId="5542" xfId="0" applyNumberFormat="1" applyFont="1" applyBorder="1" applyAlignment="1">
      <alignment horizontal="right"/>
    </xf>
    <xf numFmtId="164" fontId="5245" fillId="0" borderId="5581" xfId="0" applyNumberFormat="1" applyFont="1" applyBorder="1" applyAlignment="1">
      <alignment horizontal="right"/>
    </xf>
    <xf numFmtId="164" fontId="5280" fillId="0" borderId="5616" xfId="0" applyNumberFormat="1" applyFont="1" applyBorder="1" applyAlignment="1">
      <alignment horizontal="right"/>
    </xf>
    <xf numFmtId="164" fontId="5319" fillId="0" borderId="5655" xfId="0" applyNumberFormat="1" applyFont="1" applyBorder="1" applyAlignment="1">
      <alignment horizontal="right"/>
    </xf>
    <xf numFmtId="164" fontId="5207" fillId="0" borderId="5543" xfId="0" applyNumberFormat="1" applyFont="1" applyBorder="1" applyAlignment="1">
      <alignment horizontal="right"/>
    </xf>
    <xf numFmtId="164" fontId="5246" fillId="0" borderId="5582" xfId="0" applyNumberFormat="1" applyFont="1" applyBorder="1" applyAlignment="1">
      <alignment horizontal="right"/>
    </xf>
    <xf numFmtId="164" fontId="5281" fillId="0" borderId="5617" xfId="0" applyNumberFormat="1" applyFont="1" applyBorder="1" applyAlignment="1">
      <alignment horizontal="right"/>
    </xf>
    <xf numFmtId="164" fontId="5320" fillId="0" borderId="5656" xfId="0" applyNumberFormat="1" applyFont="1" applyBorder="1" applyAlignment="1">
      <alignment horizontal="right"/>
    </xf>
    <xf numFmtId="164" fontId="5208" fillId="0" borderId="5544" xfId="0" applyNumberFormat="1" applyFont="1" applyBorder="1" applyAlignment="1">
      <alignment horizontal="right"/>
    </xf>
    <xf numFmtId="164" fontId="5247" fillId="0" borderId="5583" xfId="0" applyNumberFormat="1" applyFont="1" applyBorder="1" applyAlignment="1">
      <alignment horizontal="right"/>
    </xf>
    <xf numFmtId="164" fontId="5282" fillId="0" borderId="5618" xfId="0" applyNumberFormat="1" applyFont="1" applyBorder="1" applyAlignment="1">
      <alignment horizontal="right"/>
    </xf>
    <xf numFmtId="164" fontId="5321" fillId="0" borderId="5657" xfId="0" applyNumberFormat="1" applyFont="1" applyBorder="1" applyAlignment="1">
      <alignment horizontal="right"/>
    </xf>
    <xf numFmtId="164" fontId="5209" fillId="0" borderId="5545" xfId="0" applyNumberFormat="1" applyFont="1" applyBorder="1" applyAlignment="1">
      <alignment horizontal="right"/>
    </xf>
    <xf numFmtId="164" fontId="5248" fillId="0" borderId="5584" xfId="0" applyNumberFormat="1" applyFont="1" applyBorder="1" applyAlignment="1">
      <alignment horizontal="right"/>
    </xf>
    <xf numFmtId="164" fontId="5283" fillId="0" borderId="5619" xfId="0" applyNumberFormat="1" applyFont="1" applyBorder="1" applyAlignment="1">
      <alignment horizontal="right"/>
    </xf>
    <xf numFmtId="164" fontId="5322" fillId="0" borderId="5658" xfId="0" applyNumberFormat="1" applyFont="1" applyBorder="1" applyAlignment="1">
      <alignment horizontal="right"/>
    </xf>
    <xf numFmtId="164" fontId="5210" fillId="0" borderId="5546" xfId="0" applyNumberFormat="1" applyFont="1" applyBorder="1" applyAlignment="1">
      <alignment horizontal="right"/>
    </xf>
    <xf numFmtId="164" fontId="5249" fillId="0" borderId="5585" xfId="0" applyNumberFormat="1" applyFont="1" applyBorder="1" applyAlignment="1">
      <alignment horizontal="right"/>
    </xf>
    <xf numFmtId="164" fontId="5284" fillId="0" borderId="5620" xfId="0" applyNumberFormat="1" applyFont="1" applyBorder="1" applyAlignment="1">
      <alignment horizontal="right"/>
    </xf>
    <xf numFmtId="164" fontId="5323" fillId="0" borderId="5659" xfId="0" applyNumberFormat="1" applyFont="1" applyBorder="1" applyAlignment="1">
      <alignment horizontal="right"/>
    </xf>
    <xf numFmtId="164" fontId="5211" fillId="0" borderId="5547" xfId="0" applyNumberFormat="1" applyFont="1" applyBorder="1" applyAlignment="1">
      <alignment horizontal="right"/>
    </xf>
    <xf numFmtId="164" fontId="5250" fillId="0" borderId="5586" xfId="0" applyNumberFormat="1" applyFont="1" applyBorder="1" applyAlignment="1">
      <alignment horizontal="right"/>
    </xf>
    <xf numFmtId="164" fontId="5285" fillId="0" borderId="5621" xfId="0" applyNumberFormat="1" applyFont="1" applyBorder="1" applyAlignment="1">
      <alignment horizontal="right"/>
    </xf>
    <xf numFmtId="164" fontId="5324" fillId="0" borderId="5660" xfId="0" applyNumberFormat="1" applyFont="1" applyBorder="1" applyAlignment="1">
      <alignment horizontal="right"/>
    </xf>
    <xf numFmtId="164" fontId="5212" fillId="0" borderId="5548" xfId="0" applyNumberFormat="1" applyFont="1" applyBorder="1" applyAlignment="1">
      <alignment horizontal="right"/>
    </xf>
    <xf numFmtId="164" fontId="5251" fillId="0" borderId="5587" xfId="0" applyNumberFormat="1" applyFont="1" applyBorder="1" applyAlignment="1">
      <alignment horizontal="right"/>
    </xf>
    <xf numFmtId="164" fontId="5286" fillId="0" borderId="5622" xfId="0" applyNumberFormat="1" applyFont="1" applyBorder="1" applyAlignment="1">
      <alignment horizontal="right"/>
    </xf>
    <xf numFmtId="164" fontId="5325" fillId="0" borderId="5661" xfId="0" applyNumberFormat="1" applyFont="1" applyBorder="1" applyAlignment="1">
      <alignment horizontal="right"/>
    </xf>
    <xf numFmtId="164" fontId="5213" fillId="0" borderId="5549" xfId="0" applyNumberFormat="1" applyFont="1" applyBorder="1" applyAlignment="1">
      <alignment horizontal="right"/>
    </xf>
    <xf numFmtId="164" fontId="5252" fillId="0" borderId="5588" xfId="0" applyNumberFormat="1" applyFont="1" applyBorder="1" applyAlignment="1">
      <alignment horizontal="right"/>
    </xf>
    <xf numFmtId="164" fontId="5287" fillId="0" borderId="5623" xfId="0" applyNumberFormat="1" applyFont="1" applyBorder="1" applyAlignment="1">
      <alignment horizontal="right"/>
    </xf>
    <xf numFmtId="164" fontId="5326" fillId="0" borderId="5662" xfId="0" applyNumberFormat="1" applyFont="1" applyBorder="1" applyAlignment="1">
      <alignment horizontal="right"/>
    </xf>
    <xf numFmtId="164" fontId="5214" fillId="0" borderId="5550" xfId="0" applyNumberFormat="1" applyFont="1" applyBorder="1" applyAlignment="1">
      <alignment horizontal="right"/>
    </xf>
    <xf numFmtId="164" fontId="5253" fillId="0" borderId="5589" xfId="0" applyNumberFormat="1" applyFont="1" applyBorder="1" applyAlignment="1">
      <alignment horizontal="right"/>
    </xf>
    <xf numFmtId="164" fontId="5288" fillId="0" borderId="5624" xfId="0" applyNumberFormat="1" applyFont="1" applyBorder="1" applyAlignment="1">
      <alignment horizontal="right"/>
    </xf>
    <xf numFmtId="164" fontId="5327" fillId="0" borderId="5663" xfId="0" applyNumberFormat="1" applyFont="1" applyBorder="1" applyAlignment="1">
      <alignment horizontal="right"/>
    </xf>
    <xf numFmtId="164" fontId="5215" fillId="0" borderId="5551" xfId="0" applyNumberFormat="1" applyFont="1" applyBorder="1" applyAlignment="1">
      <alignment horizontal="right"/>
    </xf>
    <xf numFmtId="164" fontId="5254" fillId="0" borderId="5590" xfId="0" applyNumberFormat="1" applyFont="1" applyBorder="1" applyAlignment="1">
      <alignment horizontal="right"/>
    </xf>
    <xf numFmtId="164" fontId="5289" fillId="0" borderId="5625" xfId="0" applyNumberFormat="1" applyFont="1" applyBorder="1" applyAlignment="1">
      <alignment horizontal="right"/>
    </xf>
    <xf numFmtId="164" fontId="5328" fillId="0" borderId="5664" xfId="0" applyNumberFormat="1" applyFont="1" applyBorder="1" applyAlignment="1">
      <alignment horizontal="right"/>
    </xf>
    <xf numFmtId="164" fontId="5178" fillId="0" borderId="5514" xfId="0" applyNumberFormat="1" applyFont="1" applyBorder="1" applyAlignment="1">
      <alignment horizontal="right"/>
    </xf>
    <xf numFmtId="164" fontId="5217" fillId="0" borderId="5553" xfId="0" applyNumberFormat="1" applyFont="1" applyBorder="1" applyAlignment="1">
      <alignment horizontal="right"/>
    </xf>
    <xf numFmtId="164" fontId="5256" fillId="0" borderId="5592" xfId="0" applyNumberFormat="1" applyFont="1" applyBorder="1" applyAlignment="1">
      <alignment horizontal="right"/>
    </xf>
    <xf numFmtId="164" fontId="5291" fillId="0" borderId="5627" xfId="0" applyNumberFormat="1" applyFont="1" applyBorder="1" applyAlignment="1">
      <alignment horizontal="right"/>
    </xf>
    <xf numFmtId="164" fontId="2321" fillId="0" borderId="2517" xfId="0" applyNumberFormat="1" applyFont="1" applyBorder="1" applyAlignment="1">
      <alignment horizontal="right"/>
    </xf>
    <xf numFmtId="164" fontId="2406" fillId="0" borderId="2609" xfId="0" applyNumberFormat="1" applyFont="1" applyBorder="1" applyAlignment="1">
      <alignment horizontal="right"/>
    </xf>
    <xf numFmtId="164" fontId="2489" fillId="0" borderId="2699" xfId="0" applyNumberFormat="1" applyFont="1" applyBorder="1" applyAlignment="1">
      <alignment horizontal="right"/>
    </xf>
    <xf numFmtId="164" fontId="2566" fillId="0" borderId="2783" xfId="0" applyNumberFormat="1" applyFont="1" applyBorder="1" applyAlignment="1">
      <alignment horizontal="right"/>
    </xf>
    <xf numFmtId="164" fontId="2322" fillId="0" borderId="2518" xfId="0" applyNumberFormat="1" applyFont="1" applyBorder="1" applyAlignment="1">
      <alignment horizontal="right"/>
    </xf>
    <xf numFmtId="164" fontId="2407" fillId="0" borderId="2610" xfId="0" applyNumberFormat="1" applyFont="1" applyBorder="1" applyAlignment="1">
      <alignment horizontal="right"/>
    </xf>
    <xf numFmtId="164" fontId="2490" fillId="0" borderId="2700" xfId="0" applyNumberFormat="1" applyFont="1" applyBorder="1" applyAlignment="1">
      <alignment horizontal="right"/>
    </xf>
    <xf numFmtId="164" fontId="2567" fillId="0" borderId="2784" xfId="0" applyNumberFormat="1" applyFont="1" applyBorder="1" applyAlignment="1">
      <alignment horizontal="right"/>
    </xf>
    <xf numFmtId="164" fontId="2323" fillId="0" borderId="2519" xfId="0" applyNumberFormat="1" applyFont="1" applyBorder="1" applyAlignment="1">
      <alignment horizontal="right"/>
    </xf>
    <xf numFmtId="164" fontId="2408" fillId="0" borderId="2611" xfId="0" applyNumberFormat="1" applyFont="1" applyBorder="1" applyAlignment="1">
      <alignment horizontal="right"/>
    </xf>
    <xf numFmtId="164" fontId="2491" fillId="0" borderId="2701" xfId="0" applyNumberFormat="1" applyFont="1" applyBorder="1" applyAlignment="1">
      <alignment horizontal="right"/>
    </xf>
    <xf numFmtId="164" fontId="2568" fillId="0" borderId="2785" xfId="0" applyNumberFormat="1" applyFont="1" applyBorder="1" applyAlignment="1">
      <alignment horizontal="right"/>
    </xf>
    <xf numFmtId="164" fontId="2324" fillId="0" borderId="2520" xfId="0" applyNumberFormat="1" applyFont="1" applyBorder="1" applyAlignment="1">
      <alignment horizontal="right"/>
    </xf>
    <xf numFmtId="164" fontId="2409" fillId="0" borderId="2612" xfId="0" applyNumberFormat="1" applyFont="1" applyBorder="1" applyAlignment="1">
      <alignment horizontal="right"/>
    </xf>
    <xf numFmtId="164" fontId="2492" fillId="0" borderId="2702" xfId="0" applyNumberFormat="1" applyFont="1" applyBorder="1" applyAlignment="1">
      <alignment horizontal="right"/>
    </xf>
    <xf numFmtId="164" fontId="2569" fillId="0" borderId="2786" xfId="0" applyNumberFormat="1" applyFont="1" applyBorder="1" applyAlignment="1">
      <alignment horizontal="right"/>
    </xf>
    <xf numFmtId="164" fontId="2325" fillId="0" borderId="2521" xfId="0" applyNumberFormat="1" applyFont="1" applyBorder="1" applyAlignment="1">
      <alignment horizontal="right"/>
    </xf>
    <xf numFmtId="164" fontId="2410" fillId="0" borderId="2613" xfId="0" applyNumberFormat="1" applyFont="1" applyBorder="1" applyAlignment="1">
      <alignment horizontal="right"/>
    </xf>
    <xf numFmtId="164" fontId="2493" fillId="0" borderId="2703" xfId="0" applyNumberFormat="1" applyFont="1" applyBorder="1" applyAlignment="1">
      <alignment horizontal="right"/>
    </xf>
    <xf numFmtId="164" fontId="2570" fillId="0" borderId="2787" xfId="0" applyNumberFormat="1" applyFont="1" applyBorder="1" applyAlignment="1">
      <alignment horizontal="right"/>
    </xf>
    <xf numFmtId="164" fontId="2326" fillId="0" borderId="2522" xfId="0" applyNumberFormat="1" applyFont="1" applyBorder="1" applyAlignment="1">
      <alignment horizontal="right"/>
    </xf>
    <xf numFmtId="164" fontId="2411" fillId="0" borderId="2614" xfId="0" applyNumberFormat="1" applyFont="1" applyBorder="1" applyAlignment="1">
      <alignment horizontal="right"/>
    </xf>
    <xf numFmtId="164" fontId="2494" fillId="0" borderId="2704" xfId="0" applyNumberFormat="1" applyFont="1" applyBorder="1" applyAlignment="1">
      <alignment horizontal="right"/>
    </xf>
    <xf numFmtId="164" fontId="2571" fillId="0" borderId="2788" xfId="0" applyNumberFormat="1" applyFont="1" applyBorder="1" applyAlignment="1">
      <alignment horizontal="right"/>
    </xf>
    <xf numFmtId="164" fontId="2327" fillId="0" borderId="2523" xfId="0" applyNumberFormat="1" applyFont="1" applyBorder="1" applyAlignment="1">
      <alignment horizontal="right"/>
    </xf>
    <xf numFmtId="164" fontId="2412" fillId="0" borderId="2615" xfId="0" applyNumberFormat="1" applyFont="1" applyBorder="1" applyAlignment="1">
      <alignment horizontal="right"/>
    </xf>
    <xf numFmtId="164" fontId="2495" fillId="0" borderId="2705" xfId="0" applyNumberFormat="1" applyFont="1" applyBorder="1" applyAlignment="1">
      <alignment horizontal="right"/>
    </xf>
    <xf numFmtId="164" fontId="2572" fillId="0" borderId="2789" xfId="0" applyNumberFormat="1" applyFont="1" applyBorder="1" applyAlignment="1">
      <alignment horizontal="right"/>
    </xf>
    <xf numFmtId="164" fontId="2328" fillId="0" borderId="2524" xfId="0" applyNumberFormat="1" applyFont="1" applyBorder="1" applyAlignment="1">
      <alignment horizontal="right"/>
    </xf>
    <xf numFmtId="164" fontId="2413" fillId="0" borderId="2616" xfId="0" applyNumberFormat="1" applyFont="1" applyBorder="1" applyAlignment="1">
      <alignment horizontal="right"/>
    </xf>
    <xf numFmtId="164" fontId="2496" fillId="0" borderId="2706" xfId="0" applyNumberFormat="1" applyFont="1" applyBorder="1" applyAlignment="1">
      <alignment horizontal="right"/>
    </xf>
    <xf numFmtId="164" fontId="2573" fillId="0" borderId="2790" xfId="0" applyNumberFormat="1" applyFont="1" applyBorder="1" applyAlignment="1">
      <alignment horizontal="right"/>
    </xf>
    <xf numFmtId="164" fontId="2329" fillId="0" borderId="2525" xfId="0" applyNumberFormat="1" applyFont="1" applyBorder="1" applyAlignment="1">
      <alignment horizontal="right"/>
    </xf>
    <xf numFmtId="164" fontId="2414" fillId="0" borderId="2617" xfId="0" applyNumberFormat="1" applyFont="1" applyBorder="1" applyAlignment="1">
      <alignment horizontal="right"/>
    </xf>
    <xf numFmtId="164" fontId="2497" fillId="0" borderId="2707" xfId="0" applyNumberFormat="1" applyFont="1" applyBorder="1" applyAlignment="1">
      <alignment horizontal="right"/>
    </xf>
    <xf numFmtId="164" fontId="2574" fillId="0" borderId="2791" xfId="0" applyNumberFormat="1" applyFont="1" applyBorder="1" applyAlignment="1">
      <alignment horizontal="right"/>
    </xf>
    <xf numFmtId="164" fontId="2330" fillId="0" borderId="2526" xfId="0" applyNumberFormat="1" applyFont="1" applyBorder="1" applyAlignment="1">
      <alignment horizontal="right"/>
    </xf>
    <xf numFmtId="164" fontId="2415" fillId="0" borderId="2618" xfId="0" applyNumberFormat="1" applyFont="1" applyBorder="1" applyAlignment="1">
      <alignment horizontal="right"/>
    </xf>
    <xf numFmtId="164" fontId="2498" fillId="0" borderId="2708" xfId="0" applyNumberFormat="1" applyFont="1" applyBorder="1" applyAlignment="1">
      <alignment horizontal="right"/>
    </xf>
    <xf numFmtId="164" fontId="2575" fillId="0" borderId="2792" xfId="0" applyNumberFormat="1" applyFont="1" applyBorder="1" applyAlignment="1">
      <alignment horizontal="right"/>
    </xf>
    <xf numFmtId="164" fontId="2331" fillId="0" borderId="2527" xfId="0" applyNumberFormat="1" applyFont="1" applyBorder="1" applyAlignment="1">
      <alignment horizontal="right"/>
    </xf>
    <xf numFmtId="164" fontId="2416" fillId="0" borderId="2619" xfId="0" applyNumberFormat="1" applyFont="1" applyBorder="1" applyAlignment="1">
      <alignment horizontal="right"/>
    </xf>
    <xf numFmtId="164" fontId="2499" fillId="0" borderId="2709" xfId="0" applyNumberFormat="1" applyFont="1" applyBorder="1" applyAlignment="1">
      <alignment horizontal="right"/>
    </xf>
    <xf numFmtId="164" fontId="2576" fillId="0" borderId="2793" xfId="0" applyNumberFormat="1" applyFont="1" applyBorder="1" applyAlignment="1">
      <alignment horizontal="right"/>
    </xf>
    <xf numFmtId="164" fontId="2332" fillId="0" borderId="2528" xfId="0" applyNumberFormat="1" applyFont="1" applyBorder="1" applyAlignment="1">
      <alignment horizontal="right"/>
    </xf>
    <xf numFmtId="164" fontId="2417" fillId="0" borderId="2620" xfId="0" applyNumberFormat="1" applyFont="1" applyBorder="1" applyAlignment="1">
      <alignment horizontal="right"/>
    </xf>
    <xf numFmtId="164" fontId="2500" fillId="0" borderId="2710" xfId="0" applyNumberFormat="1" applyFont="1" applyBorder="1" applyAlignment="1">
      <alignment horizontal="right"/>
    </xf>
    <xf numFmtId="164" fontId="2577" fillId="0" borderId="2794" xfId="0" applyNumberFormat="1" applyFont="1" applyBorder="1" applyAlignment="1">
      <alignment horizontal="right"/>
    </xf>
    <xf numFmtId="164" fontId="2333" fillId="0" borderId="2529" xfId="0" applyNumberFormat="1" applyFont="1" applyBorder="1" applyAlignment="1">
      <alignment horizontal="right"/>
    </xf>
    <xf numFmtId="164" fontId="2418" fillId="0" borderId="2621" xfId="0" applyNumberFormat="1" applyFont="1" applyBorder="1" applyAlignment="1">
      <alignment horizontal="right"/>
    </xf>
    <xf numFmtId="164" fontId="2501" fillId="0" borderId="2711" xfId="0" applyNumberFormat="1" applyFont="1" applyBorder="1" applyAlignment="1">
      <alignment horizontal="right"/>
    </xf>
    <xf numFmtId="164" fontId="2578" fillId="0" borderId="2795" xfId="0" applyNumberFormat="1" applyFont="1" applyBorder="1" applyAlignment="1">
      <alignment horizontal="right"/>
    </xf>
    <xf numFmtId="164" fontId="2334" fillId="0" borderId="2530" xfId="0" applyNumberFormat="1" applyFont="1" applyBorder="1" applyAlignment="1">
      <alignment horizontal="right"/>
    </xf>
    <xf numFmtId="164" fontId="2419" fillId="0" borderId="2622" xfId="0" applyNumberFormat="1" applyFont="1" applyBorder="1" applyAlignment="1">
      <alignment horizontal="right"/>
    </xf>
    <xf numFmtId="164" fontId="2502" fillId="0" borderId="2712" xfId="0" applyNumberFormat="1" applyFont="1" applyBorder="1" applyAlignment="1">
      <alignment horizontal="right"/>
    </xf>
    <xf numFmtId="164" fontId="2579" fillId="0" borderId="2796" xfId="0" applyNumberFormat="1" applyFont="1" applyBorder="1" applyAlignment="1">
      <alignment horizontal="right"/>
    </xf>
    <xf numFmtId="164" fontId="2335" fillId="0" borderId="2531" xfId="0" applyNumberFormat="1" applyFont="1" applyBorder="1" applyAlignment="1">
      <alignment horizontal="right"/>
    </xf>
    <xf numFmtId="164" fontId="2420" fillId="0" borderId="2623" xfId="0" applyNumberFormat="1" applyFont="1" applyBorder="1" applyAlignment="1">
      <alignment horizontal="right"/>
    </xf>
    <xf numFmtId="164" fontId="2503" fillId="0" borderId="2713" xfId="0" applyNumberFormat="1" applyFont="1" applyBorder="1" applyAlignment="1">
      <alignment horizontal="right"/>
    </xf>
    <xf numFmtId="164" fontId="2580" fillId="0" borderId="2797" xfId="0" applyNumberFormat="1" applyFont="1" applyBorder="1" applyAlignment="1">
      <alignment horizontal="right"/>
    </xf>
    <xf numFmtId="164" fontId="2311" fillId="0" borderId="2507" xfId="0" applyNumberFormat="1" applyFont="1" applyBorder="1" applyAlignment="1">
      <alignment horizontal="right"/>
    </xf>
    <xf numFmtId="164" fontId="2396" fillId="0" borderId="2599" xfId="0" applyNumberFormat="1" applyFont="1" applyBorder="1" applyAlignment="1">
      <alignment horizontal="right"/>
    </xf>
    <xf numFmtId="164" fontId="2481" fillId="0" borderId="2691" xfId="0" applyNumberFormat="1" applyFont="1" applyBorder="1" applyAlignment="1">
      <alignment horizontal="right"/>
    </xf>
    <xf numFmtId="164" fontId="2556" fillId="0" borderId="2773" xfId="0" applyNumberFormat="1" applyFont="1" applyBorder="1" applyAlignment="1">
      <alignment horizontal="right"/>
    </xf>
    <xf numFmtId="164" fontId="2341" fillId="0" borderId="2537" xfId="0" applyNumberFormat="1" applyFont="1" applyBorder="1" applyAlignment="1">
      <alignment horizontal="right"/>
    </xf>
    <xf numFmtId="164" fontId="2426" fillId="0" borderId="2629" xfId="0" applyNumberFormat="1" applyFont="1" applyBorder="1" applyAlignment="1">
      <alignment horizontal="right"/>
    </xf>
    <xf numFmtId="164" fontId="2507" fillId="0" borderId="2717" xfId="0" applyNumberFormat="1" applyFont="1" applyBorder="1" applyAlignment="1">
      <alignment horizontal="right"/>
    </xf>
    <xf numFmtId="164" fontId="2586" fillId="0" borderId="2803" xfId="0" applyNumberFormat="1" applyFont="1" applyBorder="1" applyAlignment="1">
      <alignment horizontal="right"/>
    </xf>
    <xf numFmtId="164" fontId="2342" fillId="0" borderId="2538" xfId="0" applyNumberFormat="1" applyFont="1" applyBorder="1" applyAlignment="1">
      <alignment horizontal="right"/>
    </xf>
    <xf numFmtId="164" fontId="2427" fillId="0" borderId="2630" xfId="0" applyNumberFormat="1" applyFont="1" applyBorder="1" applyAlignment="1">
      <alignment horizontal="right"/>
    </xf>
    <xf numFmtId="164" fontId="2508" fillId="0" borderId="2718" xfId="0" applyNumberFormat="1" applyFont="1" applyBorder="1" applyAlignment="1">
      <alignment horizontal="right"/>
    </xf>
    <xf numFmtId="164" fontId="2587" fillId="0" borderId="2804" xfId="0" applyNumberFormat="1" applyFont="1" applyBorder="1" applyAlignment="1">
      <alignment horizontal="right"/>
    </xf>
    <xf numFmtId="164" fontId="2343" fillId="0" borderId="2539" xfId="0" applyNumberFormat="1" applyFont="1" applyBorder="1" applyAlignment="1">
      <alignment horizontal="right"/>
    </xf>
    <xf numFmtId="164" fontId="2428" fillId="0" borderId="2631" xfId="0" applyNumberFormat="1" applyFont="1" applyBorder="1" applyAlignment="1">
      <alignment horizontal="right"/>
    </xf>
    <xf numFmtId="164" fontId="2509" fillId="0" borderId="2719" xfId="0" applyNumberFormat="1" applyFont="1" applyBorder="1" applyAlignment="1">
      <alignment horizontal="right"/>
    </xf>
    <xf numFmtId="164" fontId="2588" fillId="0" borderId="2805" xfId="0" applyNumberFormat="1" applyFont="1" applyBorder="1" applyAlignment="1">
      <alignment horizontal="right"/>
    </xf>
    <xf numFmtId="164" fontId="2344" fillId="0" borderId="2540" xfId="0" applyNumberFormat="1" applyFont="1" applyBorder="1" applyAlignment="1">
      <alignment horizontal="right"/>
    </xf>
    <xf numFmtId="164" fontId="2429" fillId="0" borderId="2632" xfId="0" applyNumberFormat="1" applyFont="1" applyBorder="1" applyAlignment="1">
      <alignment horizontal="right"/>
    </xf>
    <xf numFmtId="164" fontId="2510" fillId="0" borderId="2720" xfId="0" applyNumberFormat="1" applyFont="1" applyBorder="1" applyAlignment="1">
      <alignment horizontal="right"/>
    </xf>
    <xf numFmtId="164" fontId="2589" fillId="0" borderId="2806" xfId="0" applyNumberFormat="1" applyFont="1" applyBorder="1" applyAlignment="1">
      <alignment horizontal="right"/>
    </xf>
    <xf numFmtId="164" fontId="2345" fillId="0" borderId="2541" xfId="0" applyNumberFormat="1" applyFont="1" applyBorder="1" applyAlignment="1">
      <alignment horizontal="right"/>
    </xf>
    <xf numFmtId="164" fontId="2430" fillId="0" borderId="2633" xfId="0" applyNumberFormat="1" applyFont="1" applyBorder="1" applyAlignment="1">
      <alignment horizontal="right"/>
    </xf>
    <xf numFmtId="164" fontId="2511" fillId="0" borderId="2721" xfId="0" applyNumberFormat="1" applyFont="1" applyBorder="1" applyAlignment="1">
      <alignment horizontal="right"/>
    </xf>
    <xf numFmtId="164" fontId="2590" fillId="0" borderId="2807" xfId="0" applyNumberFormat="1" applyFont="1" applyBorder="1" applyAlignment="1">
      <alignment horizontal="right"/>
    </xf>
    <xf numFmtId="164" fontId="2346" fillId="0" borderId="2542" xfId="0" applyNumberFormat="1" applyFont="1" applyBorder="1" applyAlignment="1">
      <alignment horizontal="right"/>
    </xf>
    <xf numFmtId="164" fontId="2431" fillId="0" borderId="2634" xfId="0" applyNumberFormat="1" applyFont="1" applyBorder="1" applyAlignment="1">
      <alignment horizontal="right"/>
    </xf>
    <xf numFmtId="164" fontId="2512" fillId="0" borderId="2722" xfId="0" applyNumberFormat="1" applyFont="1" applyBorder="1" applyAlignment="1">
      <alignment horizontal="right"/>
    </xf>
    <xf numFmtId="164" fontId="2591" fillId="0" borderId="2808" xfId="0" applyNumberFormat="1" applyFont="1" applyBorder="1" applyAlignment="1">
      <alignment horizontal="right"/>
    </xf>
    <xf numFmtId="164" fontId="2347" fillId="0" borderId="2543" xfId="0" applyNumberFormat="1" applyFont="1" applyBorder="1" applyAlignment="1">
      <alignment horizontal="right"/>
    </xf>
    <xf numFmtId="164" fontId="2432" fillId="0" borderId="2635" xfId="0" applyNumberFormat="1" applyFont="1" applyBorder="1" applyAlignment="1">
      <alignment horizontal="right"/>
    </xf>
    <xf numFmtId="164" fontId="2513" fillId="0" borderId="2723" xfId="0" applyNumberFormat="1" applyFont="1" applyBorder="1" applyAlignment="1">
      <alignment horizontal="right"/>
    </xf>
    <xf numFmtId="164" fontId="2592" fillId="0" borderId="2809" xfId="0" applyNumberFormat="1" applyFont="1" applyBorder="1" applyAlignment="1">
      <alignment horizontal="right"/>
    </xf>
    <xf numFmtId="164" fontId="2348" fillId="0" borderId="2544" xfId="0" applyNumberFormat="1" applyFont="1" applyBorder="1" applyAlignment="1">
      <alignment horizontal="right"/>
    </xf>
    <xf numFmtId="164" fontId="2433" fillId="0" borderId="2636" xfId="0" applyNumberFormat="1" applyFont="1" applyBorder="1" applyAlignment="1">
      <alignment horizontal="right"/>
    </xf>
    <xf numFmtId="164" fontId="2514" fillId="0" borderId="2724" xfId="0" applyNumberFormat="1" applyFont="1" applyBorder="1" applyAlignment="1">
      <alignment horizontal="right"/>
    </xf>
    <xf numFmtId="164" fontId="2593" fillId="0" borderId="2810" xfId="0" applyNumberFormat="1" applyFont="1" applyBorder="1" applyAlignment="1">
      <alignment horizontal="right"/>
    </xf>
    <xf numFmtId="164" fontId="2349" fillId="0" borderId="2545" xfId="0" applyNumberFormat="1" applyFont="1" applyBorder="1" applyAlignment="1">
      <alignment horizontal="right"/>
    </xf>
    <xf numFmtId="164" fontId="2434" fillId="0" borderId="2637" xfId="0" applyNumberFormat="1" applyFont="1" applyBorder="1" applyAlignment="1">
      <alignment horizontal="right"/>
    </xf>
    <xf numFmtId="164" fontId="2515" fillId="0" borderId="2725" xfId="0" applyNumberFormat="1" applyFont="1" applyBorder="1" applyAlignment="1">
      <alignment horizontal="right"/>
    </xf>
    <xf numFmtId="164" fontId="2594" fillId="0" borderId="2811" xfId="0" applyNumberFormat="1" applyFont="1" applyBorder="1" applyAlignment="1">
      <alignment horizontal="right"/>
    </xf>
    <xf numFmtId="164" fontId="2350" fillId="0" borderId="2546" xfId="0" applyNumberFormat="1" applyFont="1" applyBorder="1" applyAlignment="1">
      <alignment horizontal="right"/>
    </xf>
    <xf numFmtId="164" fontId="2435" fillId="0" borderId="2638" xfId="0" applyNumberFormat="1" applyFont="1" applyBorder="1" applyAlignment="1">
      <alignment horizontal="right"/>
    </xf>
    <xf numFmtId="164" fontId="2516" fillId="0" borderId="2726" xfId="0" applyNumberFormat="1" applyFont="1" applyBorder="1" applyAlignment="1">
      <alignment horizontal="right"/>
    </xf>
    <xf numFmtId="164" fontId="2595" fillId="0" borderId="2812" xfId="0" applyNumberFormat="1" applyFont="1" applyBorder="1" applyAlignment="1">
      <alignment horizontal="right"/>
    </xf>
    <xf numFmtId="164" fontId="2351" fillId="0" borderId="2547" xfId="0" applyNumberFormat="1" applyFont="1" applyBorder="1" applyAlignment="1">
      <alignment horizontal="right"/>
    </xf>
    <xf numFmtId="164" fontId="2436" fillId="0" borderId="2639" xfId="0" applyNumberFormat="1" applyFont="1" applyBorder="1" applyAlignment="1">
      <alignment horizontal="right"/>
    </xf>
    <xf numFmtId="164" fontId="2517" fillId="0" borderId="2727" xfId="0" applyNumberFormat="1" applyFont="1" applyBorder="1" applyAlignment="1">
      <alignment horizontal="right"/>
    </xf>
    <xf numFmtId="164" fontId="2596" fillId="0" borderId="2813" xfId="0" applyNumberFormat="1" applyFont="1" applyBorder="1" applyAlignment="1">
      <alignment horizontal="right"/>
    </xf>
    <xf numFmtId="164" fontId="2352" fillId="0" borderId="2548" xfId="0" applyNumberFormat="1" applyFont="1" applyBorder="1" applyAlignment="1">
      <alignment horizontal="right"/>
    </xf>
    <xf numFmtId="164" fontId="2437" fillId="0" borderId="2640" xfId="0" applyNumberFormat="1" applyFont="1" applyBorder="1" applyAlignment="1">
      <alignment horizontal="right"/>
    </xf>
    <xf numFmtId="164" fontId="2518" fillId="0" borderId="2728" xfId="0" applyNumberFormat="1" applyFont="1" applyBorder="1" applyAlignment="1">
      <alignment horizontal="right"/>
    </xf>
    <xf numFmtId="164" fontId="2597" fillId="0" borderId="2814" xfId="0" applyNumberFormat="1" applyFont="1" applyBorder="1" applyAlignment="1">
      <alignment horizontal="right"/>
    </xf>
    <xf numFmtId="164" fontId="2353" fillId="0" borderId="2549" xfId="0" applyNumberFormat="1" applyFont="1" applyBorder="1" applyAlignment="1">
      <alignment horizontal="right"/>
    </xf>
    <xf numFmtId="164" fontId="2438" fillId="0" borderId="2641" xfId="0" applyNumberFormat="1" applyFont="1" applyBorder="1" applyAlignment="1">
      <alignment horizontal="right"/>
    </xf>
    <xf numFmtId="164" fontId="2519" fillId="0" borderId="2729" xfId="0" applyNumberFormat="1" applyFont="1" applyBorder="1" applyAlignment="1">
      <alignment horizontal="right"/>
    </xf>
    <xf numFmtId="164" fontId="2598" fillId="0" borderId="2815" xfId="0" applyNumberFormat="1" applyFont="1" applyBorder="1" applyAlignment="1">
      <alignment horizontal="right"/>
    </xf>
    <xf numFmtId="164" fontId="2354" fillId="0" borderId="2550" xfId="0" applyNumberFormat="1" applyFont="1" applyBorder="1" applyAlignment="1">
      <alignment horizontal="right"/>
    </xf>
    <xf numFmtId="164" fontId="2439" fillId="0" borderId="2642" xfId="0" applyNumberFormat="1" applyFont="1" applyBorder="1" applyAlignment="1">
      <alignment horizontal="right"/>
    </xf>
    <xf numFmtId="164" fontId="2520" fillId="0" borderId="2730" xfId="0" applyNumberFormat="1" applyFont="1" applyBorder="1" applyAlignment="1">
      <alignment horizontal="right"/>
    </xf>
    <xf numFmtId="164" fontId="2599" fillId="0" borderId="2816" xfId="0" applyNumberFormat="1" applyFont="1" applyBorder="1" applyAlignment="1">
      <alignment horizontal="right"/>
    </xf>
    <xf numFmtId="164" fontId="2355" fillId="0" borderId="2551" xfId="0" applyNumberFormat="1" applyFont="1" applyBorder="1" applyAlignment="1">
      <alignment horizontal="right"/>
    </xf>
    <xf numFmtId="164" fontId="2440" fillId="0" borderId="2643" xfId="0" applyNumberFormat="1" applyFont="1" applyBorder="1" applyAlignment="1">
      <alignment horizontal="right"/>
    </xf>
    <xf numFmtId="164" fontId="2521" fillId="0" borderId="2731" xfId="0" applyNumberFormat="1" applyFont="1" applyBorder="1" applyAlignment="1">
      <alignment horizontal="right"/>
    </xf>
    <xf numFmtId="164" fontId="2600" fillId="0" borderId="2817" xfId="0" applyNumberFormat="1" applyFont="1" applyBorder="1" applyAlignment="1">
      <alignment horizontal="right"/>
    </xf>
    <xf numFmtId="164" fontId="2312" fillId="0" borderId="2508" xfId="0" applyNumberFormat="1" applyFont="1" applyBorder="1" applyAlignment="1">
      <alignment horizontal="right"/>
    </xf>
    <xf numFmtId="164" fontId="2397" fillId="0" borderId="2600" xfId="0" applyNumberFormat="1" applyFont="1" applyBorder="1" applyAlignment="1">
      <alignment horizontal="right"/>
    </xf>
    <xf numFmtId="164" fontId="2482" fillId="0" borderId="2692" xfId="0" applyNumberFormat="1" applyFont="1" applyBorder="1" applyAlignment="1">
      <alignment horizontal="right"/>
    </xf>
    <xf numFmtId="164" fontId="2557" fillId="0" borderId="2774" xfId="0" applyNumberFormat="1" applyFont="1" applyBorder="1" applyAlignment="1">
      <alignment horizontal="right"/>
    </xf>
    <xf numFmtId="164" fontId="2361" fillId="0" borderId="2557" xfId="0" applyNumberFormat="1" applyFont="1" applyBorder="1" applyAlignment="1">
      <alignment horizontal="right"/>
    </xf>
    <xf numFmtId="164" fontId="2446" fillId="0" borderId="2649" xfId="0" applyNumberFormat="1" applyFont="1" applyBorder="1" applyAlignment="1">
      <alignment horizontal="right"/>
    </xf>
    <xf numFmtId="164" fontId="2525" fillId="0" borderId="2735" xfId="0" applyNumberFormat="1" applyFont="1" applyBorder="1" applyAlignment="1">
      <alignment horizontal="right"/>
    </xf>
    <xf numFmtId="164" fontId="2606" fillId="0" borderId="2823" xfId="0" applyNumberFormat="1" applyFont="1" applyBorder="1" applyAlignment="1">
      <alignment horizontal="right"/>
    </xf>
    <xf numFmtId="164" fontId="2362" fillId="0" borderId="2558" xfId="0" applyNumberFormat="1" applyFont="1" applyBorder="1" applyAlignment="1">
      <alignment horizontal="right"/>
    </xf>
    <xf numFmtId="164" fontId="2447" fillId="0" borderId="2650" xfId="0" applyNumberFormat="1" applyFont="1" applyBorder="1" applyAlignment="1">
      <alignment horizontal="right"/>
    </xf>
    <xf numFmtId="164" fontId="2526" fillId="0" borderId="2736" xfId="0" applyNumberFormat="1" applyFont="1" applyBorder="1" applyAlignment="1">
      <alignment horizontal="right"/>
    </xf>
    <xf numFmtId="164" fontId="2607" fillId="0" borderId="2824" xfId="0" applyNumberFormat="1" applyFont="1" applyBorder="1" applyAlignment="1">
      <alignment horizontal="right"/>
    </xf>
    <xf numFmtId="164" fontId="2363" fillId="0" borderId="2559" xfId="0" applyNumberFormat="1" applyFont="1" applyBorder="1" applyAlignment="1">
      <alignment horizontal="right"/>
    </xf>
    <xf numFmtId="164" fontId="2448" fillId="0" borderId="2651" xfId="0" applyNumberFormat="1" applyFont="1" applyBorder="1" applyAlignment="1">
      <alignment horizontal="right"/>
    </xf>
    <xf numFmtId="164" fontId="2527" fillId="0" borderId="2737" xfId="0" applyNumberFormat="1" applyFont="1" applyBorder="1" applyAlignment="1">
      <alignment horizontal="right"/>
    </xf>
    <xf numFmtId="164" fontId="2608" fillId="0" borderId="2825" xfId="0" applyNumberFormat="1" applyFont="1" applyBorder="1" applyAlignment="1">
      <alignment horizontal="right"/>
    </xf>
    <xf numFmtId="164" fontId="2364" fillId="0" borderId="2560" xfId="0" applyNumberFormat="1" applyFont="1" applyBorder="1" applyAlignment="1">
      <alignment horizontal="right"/>
    </xf>
    <xf numFmtId="164" fontId="2449" fillId="0" borderId="2652" xfId="0" applyNumberFormat="1" applyFont="1" applyBorder="1" applyAlignment="1">
      <alignment horizontal="right"/>
    </xf>
    <xf numFmtId="164" fontId="2528" fillId="0" borderId="2738" xfId="0" applyNumberFormat="1" applyFont="1" applyBorder="1" applyAlignment="1">
      <alignment horizontal="right"/>
    </xf>
    <xf numFmtId="164" fontId="2609" fillId="0" borderId="2826" xfId="0" applyNumberFormat="1" applyFont="1" applyBorder="1" applyAlignment="1">
      <alignment horizontal="right"/>
    </xf>
    <xf numFmtId="164" fontId="2365" fillId="0" borderId="2561" xfId="0" applyNumberFormat="1" applyFont="1" applyBorder="1" applyAlignment="1">
      <alignment horizontal="right"/>
    </xf>
    <xf numFmtId="164" fontId="2450" fillId="0" borderId="2653" xfId="0" applyNumberFormat="1" applyFont="1" applyBorder="1" applyAlignment="1">
      <alignment horizontal="right"/>
    </xf>
    <xf numFmtId="164" fontId="2529" fillId="0" borderId="2739" xfId="0" applyNumberFormat="1" applyFont="1" applyBorder="1" applyAlignment="1">
      <alignment horizontal="right"/>
    </xf>
    <xf numFmtId="164" fontId="2610" fillId="0" borderId="2827" xfId="0" applyNumberFormat="1" applyFont="1" applyBorder="1" applyAlignment="1">
      <alignment horizontal="right"/>
    </xf>
    <xf numFmtId="164" fontId="2366" fillId="0" borderId="2562" xfId="0" applyNumberFormat="1" applyFont="1" applyBorder="1" applyAlignment="1">
      <alignment horizontal="right"/>
    </xf>
    <xf numFmtId="164" fontId="2451" fillId="0" borderId="2654" xfId="0" applyNumberFormat="1" applyFont="1" applyBorder="1" applyAlignment="1">
      <alignment horizontal="right"/>
    </xf>
    <xf numFmtId="164" fontId="2530" fillId="0" borderId="2740" xfId="0" applyNumberFormat="1" applyFont="1" applyBorder="1" applyAlignment="1">
      <alignment horizontal="right"/>
    </xf>
    <xf numFmtId="164" fontId="2611" fillId="0" borderId="2828" xfId="0" applyNumberFormat="1" applyFont="1" applyBorder="1" applyAlignment="1">
      <alignment horizontal="right"/>
    </xf>
    <xf numFmtId="164" fontId="2367" fillId="0" borderId="2563" xfId="0" applyNumberFormat="1" applyFont="1" applyBorder="1" applyAlignment="1">
      <alignment horizontal="right"/>
    </xf>
    <xf numFmtId="164" fontId="2452" fillId="0" borderId="2655" xfId="0" applyNumberFormat="1" applyFont="1" applyBorder="1" applyAlignment="1">
      <alignment horizontal="right"/>
    </xf>
    <xf numFmtId="164" fontId="2531" fillId="0" borderId="2741" xfId="0" applyNumberFormat="1" applyFont="1" applyBorder="1" applyAlignment="1">
      <alignment horizontal="right"/>
    </xf>
    <xf numFmtId="164" fontId="2612" fillId="0" borderId="2829" xfId="0" applyNumberFormat="1" applyFont="1" applyBorder="1" applyAlignment="1">
      <alignment horizontal="right"/>
    </xf>
    <xf numFmtId="164" fontId="2368" fillId="0" borderId="2564" xfId="0" applyNumberFormat="1" applyFont="1" applyBorder="1" applyAlignment="1">
      <alignment horizontal="right"/>
    </xf>
    <xf numFmtId="164" fontId="2453" fillId="0" borderId="2656" xfId="0" applyNumberFormat="1" applyFont="1" applyBorder="1" applyAlignment="1">
      <alignment horizontal="right"/>
    </xf>
    <xf numFmtId="164" fontId="2532" fillId="0" borderId="2742" xfId="0" applyNumberFormat="1" applyFont="1" applyBorder="1" applyAlignment="1">
      <alignment horizontal="right"/>
    </xf>
    <xf numFmtId="164" fontId="2613" fillId="0" borderId="2830" xfId="0" applyNumberFormat="1" applyFont="1" applyBorder="1" applyAlignment="1">
      <alignment horizontal="right"/>
    </xf>
    <xf numFmtId="164" fontId="2369" fillId="0" borderId="2565" xfId="0" applyNumberFormat="1" applyFont="1" applyBorder="1" applyAlignment="1">
      <alignment horizontal="right"/>
    </xf>
    <xf numFmtId="164" fontId="2454" fillId="0" borderId="2657" xfId="0" applyNumberFormat="1" applyFont="1" applyBorder="1" applyAlignment="1">
      <alignment horizontal="right"/>
    </xf>
    <xf numFmtId="164" fontId="2533" fillId="0" borderId="2743" xfId="0" applyNumberFormat="1" applyFont="1" applyBorder="1" applyAlignment="1">
      <alignment horizontal="right"/>
    </xf>
    <xf numFmtId="164" fontId="2614" fillId="0" borderId="2831" xfId="0" applyNumberFormat="1" applyFont="1" applyBorder="1" applyAlignment="1">
      <alignment horizontal="right"/>
    </xf>
    <xf numFmtId="164" fontId="2370" fillId="0" borderId="2566" xfId="0" applyNumberFormat="1" applyFont="1" applyBorder="1" applyAlignment="1">
      <alignment horizontal="right"/>
    </xf>
    <xf numFmtId="164" fontId="2455" fillId="0" borderId="2658" xfId="0" applyNumberFormat="1" applyFont="1" applyBorder="1" applyAlignment="1">
      <alignment horizontal="right"/>
    </xf>
    <xf numFmtId="164" fontId="2534" fillId="0" borderId="2744" xfId="0" applyNumberFormat="1" applyFont="1" applyBorder="1" applyAlignment="1">
      <alignment horizontal="right"/>
    </xf>
    <xf numFmtId="164" fontId="2615" fillId="0" borderId="2832" xfId="0" applyNumberFormat="1" applyFont="1" applyBorder="1" applyAlignment="1">
      <alignment horizontal="right"/>
    </xf>
    <xf numFmtId="164" fontId="2371" fillId="0" borderId="2567" xfId="0" applyNumberFormat="1" applyFont="1" applyBorder="1" applyAlignment="1">
      <alignment horizontal="right"/>
    </xf>
    <xf numFmtId="164" fontId="2456" fillId="0" borderId="2659" xfId="0" applyNumberFormat="1" applyFont="1" applyBorder="1" applyAlignment="1">
      <alignment horizontal="right"/>
    </xf>
    <xf numFmtId="164" fontId="2535" fillId="0" borderId="2745" xfId="0" applyNumberFormat="1" applyFont="1" applyBorder="1" applyAlignment="1">
      <alignment horizontal="right"/>
    </xf>
    <xf numFmtId="164" fontId="2616" fillId="0" borderId="2833" xfId="0" applyNumberFormat="1" applyFont="1" applyBorder="1" applyAlignment="1">
      <alignment horizontal="right"/>
    </xf>
    <xf numFmtId="164" fontId="2372" fillId="0" borderId="2568" xfId="0" applyNumberFormat="1" applyFont="1" applyBorder="1" applyAlignment="1">
      <alignment horizontal="right"/>
    </xf>
    <xf numFmtId="164" fontId="2457" fillId="0" borderId="2660" xfId="0" applyNumberFormat="1" applyFont="1" applyBorder="1" applyAlignment="1">
      <alignment horizontal="right"/>
    </xf>
    <xf numFmtId="164" fontId="2536" fillId="0" borderId="2746" xfId="0" applyNumberFormat="1" applyFont="1" applyBorder="1" applyAlignment="1">
      <alignment horizontal="right"/>
    </xf>
    <xf numFmtId="164" fontId="2617" fillId="0" borderId="2834" xfId="0" applyNumberFormat="1" applyFont="1" applyBorder="1" applyAlignment="1">
      <alignment horizontal="right"/>
    </xf>
    <xf numFmtId="164" fontId="2373" fillId="0" borderId="2569" xfId="0" applyNumberFormat="1" applyFont="1" applyBorder="1" applyAlignment="1">
      <alignment horizontal="right"/>
    </xf>
    <xf numFmtId="164" fontId="2458" fillId="0" borderId="2661" xfId="0" applyNumberFormat="1" applyFont="1" applyBorder="1" applyAlignment="1">
      <alignment horizontal="right"/>
    </xf>
    <xf numFmtId="164" fontId="2537" fillId="0" borderId="2747" xfId="0" applyNumberFormat="1" applyFont="1" applyBorder="1" applyAlignment="1">
      <alignment horizontal="right"/>
    </xf>
    <xf numFmtId="164" fontId="2618" fillId="0" borderId="2835" xfId="0" applyNumberFormat="1" applyFont="1" applyBorder="1" applyAlignment="1">
      <alignment horizontal="right"/>
    </xf>
    <xf numFmtId="164" fontId="2374" fillId="0" borderId="2570" xfId="0" applyNumberFormat="1" applyFont="1" applyBorder="1" applyAlignment="1">
      <alignment horizontal="right"/>
    </xf>
    <xf numFmtId="164" fontId="2459" fillId="0" borderId="2662" xfId="0" applyNumberFormat="1" applyFont="1" applyBorder="1" applyAlignment="1">
      <alignment horizontal="right"/>
    </xf>
    <xf numFmtId="164" fontId="2538" fillId="0" borderId="2748" xfId="0" applyNumberFormat="1" applyFont="1" applyBorder="1" applyAlignment="1">
      <alignment horizontal="right"/>
    </xf>
    <xf numFmtId="164" fontId="2619" fillId="0" borderId="2836" xfId="0" applyNumberFormat="1" applyFont="1" applyBorder="1" applyAlignment="1">
      <alignment horizontal="right"/>
    </xf>
    <xf numFmtId="164" fontId="2313" fillId="0" borderId="2509" xfId="0" applyNumberFormat="1" applyFont="1" applyBorder="1" applyAlignment="1">
      <alignment horizontal="right"/>
    </xf>
    <xf numFmtId="164" fontId="2398" fillId="0" borderId="2601" xfId="0" applyNumberFormat="1" applyFont="1" applyBorder="1" applyAlignment="1">
      <alignment horizontal="right"/>
    </xf>
    <xf numFmtId="164" fontId="2483" fillId="0" borderId="2693" xfId="0" applyNumberFormat="1" applyFont="1" applyBorder="1" applyAlignment="1">
      <alignment horizontal="right"/>
    </xf>
    <xf numFmtId="164" fontId="2558" fillId="0" borderId="2775" xfId="0" applyNumberFormat="1" applyFont="1" applyBorder="1" applyAlignment="1">
      <alignment horizontal="right"/>
    </xf>
    <xf numFmtId="164" fontId="2380" fillId="0" borderId="2576" xfId="0" applyNumberFormat="1" applyFont="1" applyBorder="1" applyAlignment="1">
      <alignment horizontal="right"/>
    </xf>
    <xf numFmtId="164" fontId="2465" fillId="0" borderId="2668" xfId="0" applyNumberFormat="1" applyFont="1" applyBorder="1" applyAlignment="1">
      <alignment horizontal="right"/>
    </xf>
    <xf numFmtId="164" fontId="2542" fillId="0" borderId="2752" xfId="0" applyNumberFormat="1" applyFont="1" applyBorder="1" applyAlignment="1">
      <alignment horizontal="right"/>
    </xf>
    <xf numFmtId="164" fontId="2625" fillId="0" borderId="2842" xfId="0" applyNumberFormat="1" applyFont="1" applyBorder="1" applyAlignment="1">
      <alignment horizontal="right"/>
    </xf>
    <xf numFmtId="164" fontId="2381" fillId="0" borderId="2577" xfId="0" applyNumberFormat="1" applyFont="1" applyBorder="1" applyAlignment="1">
      <alignment horizontal="right"/>
    </xf>
    <xf numFmtId="164" fontId="2466" fillId="0" borderId="2669" xfId="0" applyNumberFormat="1" applyFont="1" applyBorder="1" applyAlignment="1">
      <alignment horizontal="right"/>
    </xf>
    <xf numFmtId="164" fontId="2543" fillId="0" borderId="2753" xfId="0" applyNumberFormat="1" applyFont="1" applyBorder="1" applyAlignment="1">
      <alignment horizontal="right"/>
    </xf>
    <xf numFmtId="164" fontId="2626" fillId="0" borderId="2843" xfId="0" applyNumberFormat="1" applyFont="1" applyBorder="1" applyAlignment="1">
      <alignment horizontal="right"/>
    </xf>
    <xf numFmtId="164" fontId="2382" fillId="0" borderId="2578" xfId="0" applyNumberFormat="1" applyFont="1" applyBorder="1" applyAlignment="1">
      <alignment horizontal="right"/>
    </xf>
    <xf numFmtId="164" fontId="2467" fillId="0" borderId="2670" xfId="0" applyNumberFormat="1" applyFont="1" applyBorder="1" applyAlignment="1">
      <alignment horizontal="right"/>
    </xf>
    <xf numFmtId="164" fontId="2544" fillId="0" borderId="2754" xfId="0" applyNumberFormat="1" applyFont="1" applyBorder="1" applyAlignment="1">
      <alignment horizontal="right"/>
    </xf>
    <xf numFmtId="164" fontId="2627" fillId="0" borderId="2844" xfId="0" applyNumberFormat="1" applyFont="1" applyBorder="1" applyAlignment="1">
      <alignment horizontal="right"/>
    </xf>
    <xf numFmtId="164" fontId="2383" fillId="0" borderId="2579" xfId="0" applyNumberFormat="1" applyFont="1" applyBorder="1" applyAlignment="1">
      <alignment horizontal="right"/>
    </xf>
    <xf numFmtId="164" fontId="2468" fillId="0" borderId="2671" xfId="0" applyNumberFormat="1" applyFont="1" applyBorder="1" applyAlignment="1">
      <alignment horizontal="right"/>
    </xf>
    <xf numFmtId="164" fontId="2545" fillId="0" borderId="2755" xfId="0" applyNumberFormat="1" applyFont="1" applyBorder="1" applyAlignment="1">
      <alignment horizontal="right"/>
    </xf>
    <xf numFmtId="164" fontId="2628" fillId="0" borderId="2845" xfId="0" applyNumberFormat="1" applyFont="1" applyBorder="1" applyAlignment="1">
      <alignment horizontal="right"/>
    </xf>
    <xf numFmtId="164" fontId="2384" fillId="0" borderId="2580" xfId="0" applyNumberFormat="1" applyFont="1" applyBorder="1" applyAlignment="1">
      <alignment horizontal="right"/>
    </xf>
    <xf numFmtId="164" fontId="2469" fillId="0" borderId="2672" xfId="0" applyNumberFormat="1" applyFont="1" applyBorder="1" applyAlignment="1">
      <alignment horizontal="right"/>
    </xf>
    <xf numFmtId="164" fontId="2546" fillId="0" borderId="2756" xfId="0" applyNumberFormat="1" applyFont="1" applyBorder="1" applyAlignment="1">
      <alignment horizontal="right"/>
    </xf>
    <xf numFmtId="164" fontId="2629" fillId="0" borderId="2846" xfId="0" applyNumberFormat="1" applyFont="1" applyBorder="1" applyAlignment="1">
      <alignment horizontal="right"/>
    </xf>
    <xf numFmtId="164" fontId="2385" fillId="0" borderId="2581" xfId="0" applyNumberFormat="1" applyFont="1" applyBorder="1" applyAlignment="1">
      <alignment horizontal="right"/>
    </xf>
    <xf numFmtId="164" fontId="2470" fillId="0" borderId="2673" xfId="0" applyNumberFormat="1" applyFont="1" applyBorder="1" applyAlignment="1">
      <alignment horizontal="right"/>
    </xf>
    <xf numFmtId="164" fontId="2547" fillId="0" borderId="2757" xfId="0" applyNumberFormat="1" applyFont="1" applyBorder="1" applyAlignment="1">
      <alignment horizontal="right"/>
    </xf>
    <xf numFmtId="164" fontId="2630" fillId="0" borderId="2847" xfId="0" applyNumberFormat="1" applyFont="1" applyBorder="1" applyAlignment="1">
      <alignment horizontal="right"/>
    </xf>
    <xf numFmtId="164" fontId="1" fillId="0" borderId="2582" xfId="0" applyNumberFormat="1" applyFont="1" applyBorder="1" applyAlignment="1">
      <alignment horizontal="right"/>
    </xf>
    <xf numFmtId="164" fontId="1" fillId="0" borderId="2674" xfId="0" applyNumberFormat="1" applyFont="1" applyBorder="1" applyAlignment="1">
      <alignment horizontal="right"/>
    </xf>
    <xf numFmtId="164" fontId="1" fillId="0" borderId="2758" xfId="0" applyNumberFormat="1" applyFont="1" applyBorder="1" applyAlignment="1">
      <alignment horizontal="right"/>
    </xf>
    <xf numFmtId="164" fontId="1" fillId="0" borderId="2848" xfId="0" applyNumberFormat="1" applyFont="1" applyBorder="1" applyAlignment="1">
      <alignment horizontal="right"/>
    </xf>
    <xf numFmtId="164" fontId="1" fillId="0" borderId="2583" xfId="0" applyNumberFormat="1" applyFont="1" applyBorder="1" applyAlignment="1">
      <alignment horizontal="right"/>
    </xf>
    <xf numFmtId="164" fontId="1" fillId="0" borderId="2675" xfId="0" applyNumberFormat="1" applyFont="1" applyBorder="1" applyAlignment="1">
      <alignment horizontal="right"/>
    </xf>
    <xf numFmtId="164" fontId="1" fillId="0" borderId="2759" xfId="0" applyNumberFormat="1" applyFont="1" applyBorder="1" applyAlignment="1">
      <alignment horizontal="right"/>
    </xf>
    <xf numFmtId="164" fontId="1" fillId="0" borderId="2849" xfId="0" applyNumberFormat="1" applyFont="1" applyBorder="1" applyAlignment="1">
      <alignment horizontal="right"/>
    </xf>
    <xf numFmtId="164" fontId="1" fillId="0" borderId="2584" xfId="0" applyNumberFormat="1" applyFont="1" applyBorder="1" applyAlignment="1">
      <alignment horizontal="right"/>
    </xf>
    <xf numFmtId="164" fontId="1" fillId="0" borderId="2676" xfId="0" applyNumberFormat="1" applyFont="1" applyBorder="1" applyAlignment="1">
      <alignment horizontal="right"/>
    </xf>
    <xf numFmtId="164" fontId="1" fillId="0" borderId="2760" xfId="0" applyNumberFormat="1" applyFont="1" applyBorder="1" applyAlignment="1">
      <alignment horizontal="right"/>
    </xf>
    <xf numFmtId="164" fontId="1" fillId="0" borderId="2850" xfId="0" applyNumberFormat="1" applyFont="1" applyBorder="1" applyAlignment="1">
      <alignment horizontal="right"/>
    </xf>
    <xf numFmtId="164" fontId="1" fillId="0" borderId="2585" xfId="0" applyNumberFormat="1" applyFont="1" applyBorder="1" applyAlignment="1">
      <alignment horizontal="right"/>
    </xf>
    <xf numFmtId="164" fontId="1" fillId="0" borderId="2677" xfId="0" applyNumberFormat="1" applyFont="1" applyBorder="1" applyAlignment="1">
      <alignment horizontal="right"/>
    </xf>
    <xf numFmtId="164" fontId="1" fillId="0" borderId="2761" xfId="0" applyNumberFormat="1" applyFont="1" applyBorder="1" applyAlignment="1">
      <alignment horizontal="right"/>
    </xf>
    <xf numFmtId="164" fontId="1" fillId="0" borderId="2851" xfId="0" applyNumberFormat="1" applyFont="1" applyBorder="1" applyAlignment="1">
      <alignment horizontal="right"/>
    </xf>
    <xf numFmtId="164" fontId="1" fillId="0" borderId="2586" xfId="0" applyNumberFormat="1" applyFont="1" applyBorder="1" applyAlignment="1">
      <alignment horizontal="right"/>
    </xf>
    <xf numFmtId="164" fontId="1" fillId="0" borderId="2678" xfId="0" applyNumberFormat="1" applyFont="1" applyBorder="1" applyAlignment="1">
      <alignment horizontal="right"/>
    </xf>
    <xf numFmtId="164" fontId="1" fillId="0" borderId="2762" xfId="0" applyNumberFormat="1" applyFont="1" applyBorder="1" applyAlignment="1">
      <alignment horizontal="right"/>
    </xf>
    <xf numFmtId="164" fontId="1" fillId="0" borderId="2852" xfId="0" applyNumberFormat="1" applyFont="1" applyBorder="1" applyAlignment="1">
      <alignment horizontal="right"/>
    </xf>
    <xf numFmtId="164" fontId="1" fillId="0" borderId="2587" xfId="0" applyNumberFormat="1" applyFont="1" applyBorder="1" applyAlignment="1">
      <alignment horizontal="right"/>
    </xf>
    <xf numFmtId="164" fontId="1" fillId="0" borderId="2679" xfId="0" applyNumberFormat="1" applyFont="1" applyBorder="1" applyAlignment="1">
      <alignment horizontal="right"/>
    </xf>
    <xf numFmtId="164" fontId="1" fillId="0" borderId="2763" xfId="0" applyNumberFormat="1" applyFont="1" applyBorder="1" applyAlignment="1">
      <alignment horizontal="right"/>
    </xf>
    <xf numFmtId="164" fontId="1" fillId="0" borderId="2853" xfId="0" applyNumberFormat="1" applyFont="1" applyBorder="1" applyAlignment="1">
      <alignment horizontal="right"/>
    </xf>
    <xf numFmtId="164" fontId="1" fillId="0" borderId="2588" xfId="0" applyNumberFormat="1" applyFont="1" applyBorder="1" applyAlignment="1">
      <alignment horizontal="right"/>
    </xf>
    <xf numFmtId="164" fontId="1" fillId="0" borderId="2680" xfId="0" applyNumberFormat="1" applyFont="1" applyBorder="1" applyAlignment="1">
      <alignment horizontal="right"/>
    </xf>
    <xf numFmtId="164" fontId="1" fillId="0" borderId="2764" xfId="0" applyNumberFormat="1" applyFont="1" applyBorder="1" applyAlignment="1">
      <alignment horizontal="right"/>
    </xf>
    <xf numFmtId="164" fontId="1" fillId="0" borderId="2854" xfId="0" applyNumberFormat="1" applyFont="1" applyBorder="1" applyAlignment="1">
      <alignment horizontal="right"/>
    </xf>
    <xf numFmtId="164" fontId="2386" fillId="0" borderId="2589" xfId="0" applyNumberFormat="1" applyFont="1" applyBorder="1" applyAlignment="1">
      <alignment horizontal="right"/>
    </xf>
    <xf numFmtId="164" fontId="2471" fillId="0" borderId="2681" xfId="0" applyNumberFormat="1" applyFont="1" applyBorder="1" applyAlignment="1">
      <alignment horizontal="right"/>
    </xf>
    <xf numFmtId="164" fontId="2548" fillId="0" borderId="2765" xfId="0" applyNumberFormat="1" applyFont="1" applyBorder="1" applyAlignment="1">
      <alignment horizontal="right"/>
    </xf>
    <xf numFmtId="164" fontId="2631" fillId="0" borderId="2855" xfId="0" applyNumberFormat="1" applyFont="1" applyBorder="1" applyAlignment="1">
      <alignment horizontal="right"/>
    </xf>
    <xf numFmtId="164" fontId="2314" fillId="0" borderId="2510" xfId="0" applyNumberFormat="1" applyFont="1" applyBorder="1" applyAlignment="1">
      <alignment horizontal="right"/>
    </xf>
    <xf numFmtId="164" fontId="2399" fillId="0" borderId="2602" xfId="0" applyNumberFormat="1" applyFont="1" applyBorder="1" applyAlignment="1">
      <alignment horizontal="right"/>
    </xf>
    <xf numFmtId="164" fontId="2484" fillId="0" borderId="2694" xfId="0" applyNumberFormat="1" applyFont="1" applyBorder="1" applyAlignment="1">
      <alignment horizontal="right"/>
    </xf>
    <xf numFmtId="164" fontId="2559" fillId="0" borderId="2776" xfId="0" applyNumberFormat="1" applyFont="1" applyBorder="1" applyAlignment="1">
      <alignment horizontal="right"/>
    </xf>
    <xf numFmtId="164" fontId="2392" fillId="0" borderId="2595" xfId="0" applyNumberFormat="1" applyFont="1" applyBorder="1" applyAlignment="1">
      <alignment horizontal="right"/>
    </xf>
    <xf numFmtId="164" fontId="2477" fillId="0" borderId="2687" xfId="0" applyNumberFormat="1" applyFont="1" applyBorder="1" applyAlignment="1">
      <alignment horizontal="right"/>
    </xf>
    <xf numFmtId="164" fontId="2552" fillId="0" borderId="2769" xfId="0" applyNumberFormat="1" applyFont="1" applyBorder="1" applyAlignment="1">
      <alignment horizontal="right"/>
    </xf>
    <xf numFmtId="164" fontId="2637" fillId="0" borderId="2861" xfId="0" applyNumberFormat="1" applyFont="1" applyBorder="1" applyAlignment="1">
      <alignment horizontal="right"/>
    </xf>
    <xf numFmtId="164" fontId="2393" fillId="0" borderId="2596" xfId="0" applyNumberFormat="1" applyFont="1" applyBorder="1" applyAlignment="1">
      <alignment horizontal="right"/>
    </xf>
    <xf numFmtId="164" fontId="2478" fillId="0" borderId="2688" xfId="0" applyNumberFormat="1" applyFont="1" applyBorder="1" applyAlignment="1">
      <alignment horizontal="right"/>
    </xf>
    <xf numFmtId="164" fontId="2553" fillId="0" borderId="2770" xfId="0" applyNumberFormat="1" applyFont="1" applyBorder="1" applyAlignment="1">
      <alignment horizontal="right"/>
    </xf>
    <xf numFmtId="164" fontId="2638" fillId="0" borderId="2862" xfId="0" applyNumberFormat="1" applyFont="1" applyBorder="1" applyAlignment="1">
      <alignment horizontal="right"/>
    </xf>
    <xf numFmtId="164" fontId="2394" fillId="0" borderId="2597" xfId="0" applyNumberFormat="1" applyFont="1" applyBorder="1" applyAlignment="1">
      <alignment horizontal="right"/>
    </xf>
    <xf numFmtId="164" fontId="2479" fillId="0" borderId="2689" xfId="0" applyNumberFormat="1" applyFont="1" applyBorder="1" applyAlignment="1">
      <alignment horizontal="right"/>
    </xf>
    <xf numFmtId="164" fontId="2554" fillId="0" borderId="2771" xfId="0" applyNumberFormat="1" applyFont="1" applyBorder="1" applyAlignment="1">
      <alignment horizontal="right"/>
    </xf>
    <xf numFmtId="164" fontId="2639" fillId="0" borderId="2863" xfId="0" applyNumberFormat="1" applyFont="1" applyBorder="1" applyAlignment="1">
      <alignment horizontal="right"/>
    </xf>
    <xf numFmtId="164" fontId="2395" fillId="0" borderId="2598" xfId="0" applyNumberFormat="1" applyFont="1" applyBorder="1" applyAlignment="1">
      <alignment horizontal="right"/>
    </xf>
    <xf numFmtId="164" fontId="2480" fillId="0" borderId="2690" xfId="0" applyNumberFormat="1" applyFont="1" applyBorder="1" applyAlignment="1">
      <alignment horizontal="right"/>
    </xf>
    <xf numFmtId="164" fontId="2555" fillId="0" borderId="2772" xfId="0" applyNumberFormat="1" applyFont="1" applyBorder="1" applyAlignment="1">
      <alignment horizontal="right"/>
    </xf>
    <xf numFmtId="164" fontId="2640" fillId="0" borderId="2864" xfId="0" applyNumberFormat="1" applyFont="1" applyBorder="1" applyAlignment="1">
      <alignment horizontal="right"/>
    </xf>
    <xf numFmtId="164" fontId="2315" fillId="0" borderId="2511" xfId="0" applyNumberFormat="1" applyFont="1" applyBorder="1" applyAlignment="1">
      <alignment horizontal="right"/>
    </xf>
    <xf numFmtId="164" fontId="2400" fillId="0" borderId="2603" xfId="0" applyNumberFormat="1" applyFont="1" applyBorder="1" applyAlignment="1">
      <alignment horizontal="right"/>
    </xf>
    <xf numFmtId="164" fontId="2485" fillId="0" borderId="2695" xfId="0" applyNumberFormat="1" applyFont="1" applyBorder="1" applyAlignment="1">
      <alignment horizontal="right"/>
    </xf>
    <xf numFmtId="164" fontId="2560" fillId="0" borderId="2777" xfId="0" applyNumberFormat="1" applyFont="1" applyBorder="1" applyAlignment="1">
      <alignment horizontal="right"/>
    </xf>
    <xf numFmtId="164" fontId="5032" fillId="0" borderId="5368" xfId="0" applyNumberFormat="1" applyFont="1" applyBorder="1" applyAlignment="1">
      <alignment horizontal="right"/>
    </xf>
    <xf numFmtId="164" fontId="5071" fillId="0" borderId="5407" xfId="0" applyNumberFormat="1" applyFont="1" applyBorder="1" applyAlignment="1">
      <alignment horizontal="right"/>
    </xf>
    <xf numFmtId="164" fontId="5108" fillId="0" borderId="5444" xfId="0" applyNumberFormat="1" applyFont="1" applyBorder="1" applyAlignment="1">
      <alignment horizontal="right"/>
    </xf>
    <xf numFmtId="164" fontId="5145" fillId="0" borderId="5481" xfId="0" applyNumberFormat="1" applyFont="1" applyBorder="1" applyAlignment="1">
      <alignment horizontal="right"/>
    </xf>
    <xf numFmtId="164" fontId="5033" fillId="0" borderId="5369" xfId="0" applyNumberFormat="1" applyFont="1" applyBorder="1" applyAlignment="1">
      <alignment horizontal="right"/>
    </xf>
    <xf numFmtId="164" fontId="5072" fillId="0" borderId="5408" xfId="0" applyNumberFormat="1" applyFont="1" applyBorder="1" applyAlignment="1">
      <alignment horizontal="right"/>
    </xf>
    <xf numFmtId="164" fontId="5109" fillId="0" borderId="5445" xfId="0" applyNumberFormat="1" applyFont="1" applyBorder="1" applyAlignment="1">
      <alignment horizontal="right"/>
    </xf>
    <xf numFmtId="164" fontId="5146" fillId="0" borderId="5482" xfId="0" applyNumberFormat="1" applyFont="1" applyBorder="1" applyAlignment="1">
      <alignment horizontal="right"/>
    </xf>
    <xf numFmtId="164" fontId="5034" fillId="0" borderId="5370" xfId="0" applyNumberFormat="1" applyFont="1" applyBorder="1" applyAlignment="1">
      <alignment horizontal="right"/>
    </xf>
    <xf numFmtId="164" fontId="5073" fillId="0" borderId="5409" xfId="0" applyNumberFormat="1" applyFont="1" applyBorder="1" applyAlignment="1">
      <alignment horizontal="right"/>
    </xf>
    <xf numFmtId="164" fontId="5110" fillId="0" borderId="5446" xfId="0" applyNumberFormat="1" applyFont="1" applyBorder="1" applyAlignment="1">
      <alignment horizontal="right"/>
    </xf>
    <xf numFmtId="164" fontId="5147" fillId="0" borderId="5483" xfId="0" applyNumberFormat="1" applyFont="1" applyBorder="1" applyAlignment="1">
      <alignment horizontal="right"/>
    </xf>
    <xf numFmtId="164" fontId="5035" fillId="0" borderId="5371" xfId="0" applyNumberFormat="1" applyFont="1" applyBorder="1" applyAlignment="1">
      <alignment horizontal="right"/>
    </xf>
    <xf numFmtId="164" fontId="5074" fillId="0" borderId="5410" xfId="0" applyNumberFormat="1" applyFont="1" applyBorder="1" applyAlignment="1">
      <alignment horizontal="right"/>
    </xf>
    <xf numFmtId="164" fontId="5111" fillId="0" borderId="5447" xfId="0" applyNumberFormat="1" applyFont="1" applyBorder="1" applyAlignment="1">
      <alignment horizontal="right"/>
    </xf>
    <xf numFmtId="164" fontId="5148" fillId="0" borderId="5484" xfId="0" applyNumberFormat="1" applyFont="1" applyBorder="1" applyAlignment="1">
      <alignment horizontal="right"/>
    </xf>
    <xf numFmtId="164" fontId="5036" fillId="0" borderId="5372" xfId="0" applyNumberFormat="1" applyFont="1" applyBorder="1" applyAlignment="1">
      <alignment horizontal="right"/>
    </xf>
    <xf numFmtId="164" fontId="5075" fillId="0" borderId="5411" xfId="0" applyNumberFormat="1" applyFont="1" applyBorder="1" applyAlignment="1">
      <alignment horizontal="right"/>
    </xf>
    <xf numFmtId="164" fontId="5112" fillId="0" borderId="5448" xfId="0" applyNumberFormat="1" applyFont="1" applyBorder="1" applyAlignment="1">
      <alignment horizontal="right"/>
    </xf>
    <xf numFmtId="164" fontId="5149" fillId="0" borderId="5485" xfId="0" applyNumberFormat="1" applyFont="1" applyBorder="1" applyAlignment="1">
      <alignment horizontal="right"/>
    </xf>
    <xf numFmtId="164" fontId="5037" fillId="0" borderId="5373" xfId="0" applyNumberFormat="1" applyFont="1" applyBorder="1" applyAlignment="1">
      <alignment horizontal="right"/>
    </xf>
    <xf numFmtId="164" fontId="5076" fillId="0" borderId="5412" xfId="0" applyNumberFormat="1" applyFont="1" applyBorder="1" applyAlignment="1">
      <alignment horizontal="right"/>
    </xf>
    <xf numFmtId="164" fontId="5113" fillId="0" borderId="5449" xfId="0" applyNumberFormat="1" applyFont="1" applyBorder="1" applyAlignment="1">
      <alignment horizontal="right"/>
    </xf>
    <xf numFmtId="164" fontId="5150" fillId="0" borderId="5486" xfId="0" applyNumberFormat="1" applyFont="1" applyBorder="1" applyAlignment="1">
      <alignment horizontal="right"/>
    </xf>
    <xf numFmtId="164" fontId="5038" fillId="0" borderId="5374" xfId="0" applyNumberFormat="1" applyFont="1" applyBorder="1" applyAlignment="1">
      <alignment horizontal="right"/>
    </xf>
    <xf numFmtId="164" fontId="5077" fillId="0" borderId="5413" xfId="0" applyNumberFormat="1" applyFont="1" applyBorder="1" applyAlignment="1">
      <alignment horizontal="right"/>
    </xf>
    <xf numFmtId="164" fontId="5114" fillId="0" borderId="5450" xfId="0" applyNumberFormat="1" applyFont="1" applyBorder="1" applyAlignment="1">
      <alignment horizontal="right"/>
    </xf>
    <xf numFmtId="164" fontId="5151" fillId="0" borderId="5487" xfId="0" applyNumberFormat="1" applyFont="1" applyBorder="1" applyAlignment="1">
      <alignment horizontal="right"/>
    </xf>
    <xf numFmtId="164" fontId="5039" fillId="0" borderId="5375" xfId="0" applyNumberFormat="1" applyFont="1" applyBorder="1" applyAlignment="1">
      <alignment horizontal="right"/>
    </xf>
    <xf numFmtId="164" fontId="5078" fillId="0" borderId="5414" xfId="0" applyNumberFormat="1" applyFont="1" applyBorder="1" applyAlignment="1">
      <alignment horizontal="right"/>
    </xf>
    <xf numFmtId="164" fontId="5115" fillId="0" borderId="5451" xfId="0" applyNumberFormat="1" applyFont="1" applyBorder="1" applyAlignment="1">
      <alignment horizontal="right"/>
    </xf>
    <xf numFmtId="164" fontId="5152" fillId="0" borderId="5488" xfId="0" applyNumberFormat="1" applyFont="1" applyBorder="1" applyAlignment="1">
      <alignment horizontal="right"/>
    </xf>
    <xf numFmtId="164" fontId="5040" fillId="0" borderId="5376" xfId="0" applyNumberFormat="1" applyFont="1" applyBorder="1" applyAlignment="1">
      <alignment horizontal="right"/>
    </xf>
    <xf numFmtId="164" fontId="5079" fillId="0" borderId="5415" xfId="0" applyNumberFormat="1" applyFont="1" applyBorder="1" applyAlignment="1">
      <alignment horizontal="right"/>
    </xf>
    <xf numFmtId="164" fontId="5116" fillId="0" borderId="5452" xfId="0" applyNumberFormat="1" applyFont="1" applyBorder="1" applyAlignment="1">
      <alignment horizontal="right"/>
    </xf>
    <xf numFmtId="164" fontId="5153" fillId="0" borderId="5489" xfId="0" applyNumberFormat="1" applyFont="1" applyBorder="1" applyAlignment="1">
      <alignment horizontal="right"/>
    </xf>
    <xf numFmtId="164" fontId="5041" fillId="0" borderId="5377" xfId="0" applyNumberFormat="1" applyFont="1" applyBorder="1" applyAlignment="1">
      <alignment horizontal="right"/>
    </xf>
    <xf numFmtId="164" fontId="5080" fillId="0" borderId="5416" xfId="0" applyNumberFormat="1" applyFont="1" applyBorder="1" applyAlignment="1">
      <alignment horizontal="right"/>
    </xf>
    <xf numFmtId="164" fontId="5117" fillId="0" borderId="5453" xfId="0" applyNumberFormat="1" applyFont="1" applyBorder="1" applyAlignment="1">
      <alignment horizontal="right"/>
    </xf>
    <xf numFmtId="164" fontId="5154" fillId="0" borderId="5490" xfId="0" applyNumberFormat="1" applyFont="1" applyBorder="1" applyAlignment="1">
      <alignment horizontal="right"/>
    </xf>
    <xf numFmtId="164" fontId="5042" fillId="0" borderId="5378" xfId="0" applyNumberFormat="1" applyFont="1" applyBorder="1" applyAlignment="1">
      <alignment horizontal="right"/>
    </xf>
    <xf numFmtId="164" fontId="5081" fillId="0" borderId="5417" xfId="0" applyNumberFormat="1" applyFont="1" applyBorder="1" applyAlignment="1">
      <alignment horizontal="right"/>
    </xf>
    <xf numFmtId="164" fontId="5118" fillId="0" borderId="5454" xfId="0" applyNumberFormat="1" applyFont="1" applyBorder="1" applyAlignment="1">
      <alignment horizontal="right"/>
    </xf>
    <xf numFmtId="164" fontId="5155" fillId="0" borderId="5491" xfId="0" applyNumberFormat="1" applyFont="1" applyBorder="1" applyAlignment="1">
      <alignment horizontal="right"/>
    </xf>
    <xf numFmtId="164" fontId="5043" fillId="0" borderId="5379" xfId="0" applyNumberFormat="1" applyFont="1" applyBorder="1" applyAlignment="1">
      <alignment horizontal="right"/>
    </xf>
    <xf numFmtId="164" fontId="5082" fillId="0" borderId="5418" xfId="0" applyNumberFormat="1" applyFont="1" applyBorder="1" applyAlignment="1">
      <alignment horizontal="right"/>
    </xf>
    <xf numFmtId="164" fontId="5119" fillId="0" borderId="5455" xfId="0" applyNumberFormat="1" applyFont="1" applyBorder="1" applyAlignment="1">
      <alignment horizontal="right"/>
    </xf>
    <xf numFmtId="164" fontId="5156" fillId="0" borderId="5492" xfId="0" applyNumberFormat="1" applyFont="1" applyBorder="1" applyAlignment="1">
      <alignment horizontal="right"/>
    </xf>
    <xf numFmtId="164" fontId="5044" fillId="0" borderId="5380" xfId="0" applyNumberFormat="1" applyFont="1" applyBorder="1" applyAlignment="1">
      <alignment horizontal="right"/>
    </xf>
    <xf numFmtId="164" fontId="5083" fillId="0" borderId="5419" xfId="0" applyNumberFormat="1" applyFont="1" applyBorder="1" applyAlignment="1">
      <alignment horizontal="right"/>
    </xf>
    <xf numFmtId="164" fontId="5120" fillId="0" borderId="5456" xfId="0" applyNumberFormat="1" applyFont="1" applyBorder="1" applyAlignment="1">
      <alignment horizontal="right"/>
    </xf>
    <xf numFmtId="164" fontId="5157" fillId="0" borderId="5493" xfId="0" applyNumberFormat="1" applyFont="1" applyBorder="1" applyAlignment="1">
      <alignment horizontal="right"/>
    </xf>
    <xf numFmtId="164" fontId="5025" fillId="0" borderId="5361" xfId="0" applyNumberFormat="1" applyFont="1" applyBorder="1" applyAlignment="1">
      <alignment horizontal="right"/>
    </xf>
    <xf numFmtId="164" fontId="5064" fillId="0" borderId="5400" xfId="0" applyNumberFormat="1" applyFont="1" applyBorder="1" applyAlignment="1">
      <alignment horizontal="right"/>
    </xf>
    <xf numFmtId="164" fontId="5103" fillId="0" borderId="5439" xfId="0" applyNumberFormat="1" applyFont="1" applyBorder="1" applyAlignment="1">
      <alignment horizontal="right"/>
    </xf>
    <xf numFmtId="164" fontId="5138" fillId="0" borderId="5474" xfId="0" applyNumberFormat="1" applyFont="1" applyBorder="1" applyAlignment="1">
      <alignment horizontal="right"/>
    </xf>
    <xf numFmtId="164" fontId="5050" fillId="0" borderId="5386" xfId="0" applyNumberFormat="1" applyFont="1" applyBorder="1" applyAlignment="1">
      <alignment horizontal="right"/>
    </xf>
    <xf numFmtId="164" fontId="5089" fillId="0" borderId="5425" xfId="0" applyNumberFormat="1" applyFont="1" applyBorder="1" applyAlignment="1">
      <alignment horizontal="right"/>
    </xf>
    <xf numFmtId="164" fontId="5124" fillId="0" borderId="5460" xfId="0" applyNumberFormat="1" applyFont="1" applyBorder="1" applyAlignment="1">
      <alignment horizontal="right"/>
    </xf>
    <xf numFmtId="164" fontId="5163" fillId="0" borderId="5499" xfId="0" applyNumberFormat="1" applyFont="1" applyBorder="1" applyAlignment="1">
      <alignment horizontal="right"/>
    </xf>
    <xf numFmtId="164" fontId="5051" fillId="0" borderId="5387" xfId="0" applyNumberFormat="1" applyFont="1" applyBorder="1" applyAlignment="1">
      <alignment horizontal="right"/>
    </xf>
    <xf numFmtId="164" fontId="5090" fillId="0" borderId="5426" xfId="0" applyNumberFormat="1" applyFont="1" applyBorder="1" applyAlignment="1">
      <alignment horizontal="right"/>
    </xf>
    <xf numFmtId="164" fontId="5125" fillId="0" borderId="5461" xfId="0" applyNumberFormat="1" applyFont="1" applyBorder="1" applyAlignment="1">
      <alignment horizontal="right"/>
    </xf>
    <xf numFmtId="164" fontId="5164" fillId="0" borderId="5500" xfId="0" applyNumberFormat="1" applyFont="1" applyBorder="1" applyAlignment="1">
      <alignment horizontal="right"/>
    </xf>
    <xf numFmtId="164" fontId="5052" fillId="0" borderId="5388" xfId="0" applyNumberFormat="1" applyFont="1" applyBorder="1" applyAlignment="1">
      <alignment horizontal="right"/>
    </xf>
    <xf numFmtId="164" fontId="5091" fillId="0" borderId="5427" xfId="0" applyNumberFormat="1" applyFont="1" applyBorder="1" applyAlignment="1">
      <alignment horizontal="right"/>
    </xf>
    <xf numFmtId="164" fontId="5126" fillId="0" borderId="5462" xfId="0" applyNumberFormat="1" applyFont="1" applyBorder="1" applyAlignment="1">
      <alignment horizontal="right"/>
    </xf>
    <xf numFmtId="164" fontId="5165" fillId="0" borderId="5501" xfId="0" applyNumberFormat="1" applyFont="1" applyBorder="1" applyAlignment="1">
      <alignment horizontal="right"/>
    </xf>
    <xf numFmtId="164" fontId="5053" fillId="0" borderId="5389" xfId="0" applyNumberFormat="1" applyFont="1" applyBorder="1" applyAlignment="1">
      <alignment horizontal="right"/>
    </xf>
    <xf numFmtId="164" fontId="5092" fillId="0" borderId="5428" xfId="0" applyNumberFormat="1" applyFont="1" applyBorder="1" applyAlignment="1">
      <alignment horizontal="right"/>
    </xf>
    <xf numFmtId="164" fontId="5127" fillId="0" borderId="5463" xfId="0" applyNumberFormat="1" applyFont="1" applyBorder="1" applyAlignment="1">
      <alignment horizontal="right"/>
    </xf>
    <xf numFmtId="164" fontId="5166" fillId="0" borderId="5502" xfId="0" applyNumberFormat="1" applyFont="1" applyBorder="1" applyAlignment="1">
      <alignment horizontal="right"/>
    </xf>
    <xf numFmtId="164" fontId="5054" fillId="0" borderId="5390" xfId="0" applyNumberFormat="1" applyFont="1" applyBorder="1" applyAlignment="1">
      <alignment horizontal="right"/>
    </xf>
    <xf numFmtId="164" fontId="5093" fillId="0" borderId="5429" xfId="0" applyNumberFormat="1" applyFont="1" applyBorder="1" applyAlignment="1">
      <alignment horizontal="right"/>
    </xf>
    <xf numFmtId="164" fontId="5128" fillId="0" borderId="5464" xfId="0" applyNumberFormat="1" applyFont="1" applyBorder="1" applyAlignment="1">
      <alignment horizontal="right"/>
    </xf>
    <xf numFmtId="164" fontId="5167" fillId="0" borderId="5503" xfId="0" applyNumberFormat="1" applyFont="1" applyBorder="1" applyAlignment="1">
      <alignment horizontal="right"/>
    </xf>
    <xf numFmtId="164" fontId="5055" fillId="0" borderId="5391" xfId="0" applyNumberFormat="1" applyFont="1" applyBorder="1" applyAlignment="1">
      <alignment horizontal="right"/>
    </xf>
    <xf numFmtId="164" fontId="5094" fillId="0" borderId="5430" xfId="0" applyNumberFormat="1" applyFont="1" applyBorder="1" applyAlignment="1">
      <alignment horizontal="right"/>
    </xf>
    <xf numFmtId="164" fontId="5129" fillId="0" borderId="5465" xfId="0" applyNumberFormat="1" applyFont="1" applyBorder="1" applyAlignment="1">
      <alignment horizontal="right"/>
    </xf>
    <xf numFmtId="164" fontId="5168" fillId="0" borderId="5504" xfId="0" applyNumberFormat="1" applyFont="1" applyBorder="1" applyAlignment="1">
      <alignment horizontal="right"/>
    </xf>
    <xf numFmtId="164" fontId="5056" fillId="0" borderId="5392" xfId="0" applyNumberFormat="1" applyFont="1" applyBorder="1" applyAlignment="1">
      <alignment horizontal="right"/>
    </xf>
    <xf numFmtId="164" fontId="5095" fillId="0" borderId="5431" xfId="0" applyNumberFormat="1" applyFont="1" applyBorder="1" applyAlignment="1">
      <alignment horizontal="right"/>
    </xf>
    <xf numFmtId="164" fontId="5130" fillId="0" borderId="5466" xfId="0" applyNumberFormat="1" applyFont="1" applyBorder="1" applyAlignment="1">
      <alignment horizontal="right"/>
    </xf>
    <xf numFmtId="164" fontId="5169" fillId="0" borderId="5505" xfId="0" applyNumberFormat="1" applyFont="1" applyBorder="1" applyAlignment="1">
      <alignment horizontal="right"/>
    </xf>
    <xf numFmtId="164" fontId="5057" fillId="0" borderId="5393" xfId="0" applyNumberFormat="1" applyFont="1" applyBorder="1" applyAlignment="1">
      <alignment horizontal="right"/>
    </xf>
    <xf numFmtId="164" fontId="5096" fillId="0" borderId="5432" xfId="0" applyNumberFormat="1" applyFont="1" applyBorder="1" applyAlignment="1">
      <alignment horizontal="right"/>
    </xf>
    <xf numFmtId="164" fontId="5131" fillId="0" borderId="5467" xfId="0" applyNumberFormat="1" applyFont="1" applyBorder="1" applyAlignment="1">
      <alignment horizontal="right"/>
    </xf>
    <xf numFmtId="164" fontId="5170" fillId="0" borderId="5506" xfId="0" applyNumberFormat="1" applyFont="1" applyBorder="1" applyAlignment="1">
      <alignment horizontal="right"/>
    </xf>
    <xf numFmtId="164" fontId="5058" fillId="0" borderId="5394" xfId="0" applyNumberFormat="1" applyFont="1" applyBorder="1" applyAlignment="1">
      <alignment horizontal="right"/>
    </xf>
    <xf numFmtId="164" fontId="5097" fillId="0" borderId="5433" xfId="0" applyNumberFormat="1" applyFont="1" applyBorder="1" applyAlignment="1">
      <alignment horizontal="right"/>
    </xf>
    <xf numFmtId="164" fontId="5132" fillId="0" borderId="5468" xfId="0" applyNumberFormat="1" applyFont="1" applyBorder="1" applyAlignment="1">
      <alignment horizontal="right"/>
    </xf>
    <xf numFmtId="164" fontId="5171" fillId="0" borderId="5507" xfId="0" applyNumberFormat="1" applyFont="1" applyBorder="1" applyAlignment="1">
      <alignment horizontal="right"/>
    </xf>
    <xf numFmtId="164" fontId="5059" fillId="0" borderId="5395" xfId="0" applyNumberFormat="1" applyFont="1" applyBorder="1" applyAlignment="1">
      <alignment horizontal="right"/>
    </xf>
    <xf numFmtId="164" fontId="5098" fillId="0" borderId="5434" xfId="0" applyNumberFormat="1" applyFont="1" applyBorder="1" applyAlignment="1">
      <alignment horizontal="right"/>
    </xf>
    <xf numFmtId="164" fontId="5133" fillId="0" borderId="5469" xfId="0" applyNumberFormat="1" applyFont="1" applyBorder="1" applyAlignment="1">
      <alignment horizontal="right"/>
    </xf>
    <xf numFmtId="164" fontId="5172" fillId="0" borderId="5508" xfId="0" applyNumberFormat="1" applyFont="1" applyBorder="1" applyAlignment="1">
      <alignment horizontal="right"/>
    </xf>
    <xf numFmtId="164" fontId="5060" fillId="0" borderId="5396" xfId="0" applyNumberFormat="1" applyFont="1" applyBorder="1" applyAlignment="1">
      <alignment horizontal="right"/>
    </xf>
    <xf numFmtId="164" fontId="5099" fillId="0" borderId="5435" xfId="0" applyNumberFormat="1" applyFont="1" applyBorder="1" applyAlignment="1">
      <alignment horizontal="right"/>
    </xf>
    <xf numFmtId="164" fontId="5134" fillId="0" borderId="5470" xfId="0" applyNumberFormat="1" applyFont="1" applyBorder="1" applyAlignment="1">
      <alignment horizontal="right"/>
    </xf>
    <xf numFmtId="164" fontId="5173" fillId="0" borderId="5509" xfId="0" applyNumberFormat="1" applyFont="1" applyBorder="1" applyAlignment="1">
      <alignment horizontal="right"/>
    </xf>
    <xf numFmtId="164" fontId="5061" fillId="0" borderId="5397" xfId="0" applyNumberFormat="1" applyFont="1" applyBorder="1" applyAlignment="1">
      <alignment horizontal="right"/>
    </xf>
    <xf numFmtId="164" fontId="5100" fillId="0" borderId="5436" xfId="0" applyNumberFormat="1" applyFont="1" applyBorder="1" applyAlignment="1">
      <alignment horizontal="right"/>
    </xf>
    <xf numFmtId="164" fontId="5135" fillId="0" borderId="5471" xfId="0" applyNumberFormat="1" applyFont="1" applyBorder="1" applyAlignment="1">
      <alignment horizontal="right"/>
    </xf>
    <xf numFmtId="164" fontId="5174" fillId="0" borderId="5510" xfId="0" applyNumberFormat="1" applyFont="1" applyBorder="1" applyAlignment="1">
      <alignment horizontal="right"/>
    </xf>
    <xf numFmtId="164" fontId="5062" fillId="0" borderId="5398" xfId="0" applyNumberFormat="1" applyFont="1" applyBorder="1" applyAlignment="1">
      <alignment horizontal="right"/>
    </xf>
    <xf numFmtId="164" fontId="5101" fillId="0" borderId="5437" xfId="0" applyNumberFormat="1" applyFont="1" applyBorder="1" applyAlignment="1">
      <alignment horizontal="right"/>
    </xf>
    <xf numFmtId="164" fontId="5136" fillId="0" borderId="5472" xfId="0" applyNumberFormat="1" applyFont="1" applyBorder="1" applyAlignment="1">
      <alignment horizontal="right"/>
    </xf>
    <xf numFmtId="164" fontId="5175" fillId="0" borderId="5511" xfId="0" applyNumberFormat="1" applyFont="1" applyBorder="1" applyAlignment="1">
      <alignment horizontal="right"/>
    </xf>
    <xf numFmtId="164" fontId="5063" fillId="0" borderId="5399" xfId="0" applyNumberFormat="1" applyFont="1" applyBorder="1" applyAlignment="1">
      <alignment horizontal="right"/>
    </xf>
    <xf numFmtId="164" fontId="5102" fillId="0" borderId="5438" xfId="0" applyNumberFormat="1" applyFont="1" applyBorder="1" applyAlignment="1">
      <alignment horizontal="right"/>
    </xf>
    <xf numFmtId="164" fontId="5137" fillId="0" borderId="5473" xfId="0" applyNumberFormat="1" applyFont="1" applyBorder="1" applyAlignment="1">
      <alignment horizontal="right"/>
    </xf>
    <xf numFmtId="164" fontId="5176" fillId="0" borderId="5512" xfId="0" applyNumberFormat="1" applyFont="1" applyBorder="1" applyAlignment="1">
      <alignment horizontal="right"/>
    </xf>
    <xf numFmtId="164" fontId="5026" fillId="0" borderId="5362" xfId="0" applyNumberFormat="1" applyFont="1" applyBorder="1" applyAlignment="1">
      <alignment horizontal="right"/>
    </xf>
    <xf numFmtId="164" fontId="5065" fillId="0" borderId="5401" xfId="0" applyNumberFormat="1" applyFont="1" applyBorder="1" applyAlignment="1">
      <alignment horizontal="right"/>
    </xf>
    <xf numFmtId="164" fontId="5104" fillId="0" borderId="5440" xfId="0" applyNumberFormat="1" applyFont="1" applyBorder="1" applyAlignment="1">
      <alignment horizontal="right"/>
    </xf>
    <xf numFmtId="164" fontId="5139" fillId="0" borderId="5475" xfId="0" applyNumberFormat="1" applyFont="1" applyBorder="1" applyAlignment="1">
      <alignment horizontal="right"/>
    </xf>
    <xf numFmtId="164" fontId="1991" fillId="0" borderId="2159" xfId="0" applyNumberFormat="1" applyFont="1" applyBorder="1" applyAlignment="1">
      <alignment horizontal="right"/>
    </xf>
    <xf numFmtId="164" fontId="2076" fillId="0" borderId="2251" xfId="0" applyNumberFormat="1" applyFont="1" applyBorder="1" applyAlignment="1">
      <alignment horizontal="right"/>
    </xf>
    <xf numFmtId="164" fontId="2159" fillId="0" borderId="2341" xfId="0" applyNumberFormat="1" applyFont="1" applyBorder="1" applyAlignment="1">
      <alignment horizontal="right"/>
    </xf>
    <xf numFmtId="164" fontId="2236" fillId="0" borderId="2425" xfId="0" applyNumberFormat="1" applyFont="1" applyBorder="1" applyAlignment="1">
      <alignment horizontal="right"/>
    </xf>
    <xf numFmtId="164" fontId="1992" fillId="0" borderId="2160" xfId="0" applyNumberFormat="1" applyFont="1" applyBorder="1" applyAlignment="1">
      <alignment horizontal="right"/>
    </xf>
    <xf numFmtId="164" fontId="2077" fillId="0" borderId="2252" xfId="0" applyNumberFormat="1" applyFont="1" applyBorder="1" applyAlignment="1">
      <alignment horizontal="right"/>
    </xf>
    <xf numFmtId="164" fontId="2160" fillId="0" borderId="2342" xfId="0" applyNumberFormat="1" applyFont="1" applyBorder="1" applyAlignment="1">
      <alignment horizontal="right"/>
    </xf>
    <xf numFmtId="164" fontId="2237" fillId="0" borderId="2426" xfId="0" applyNumberFormat="1" applyFont="1" applyBorder="1" applyAlignment="1">
      <alignment horizontal="right"/>
    </xf>
    <xf numFmtId="164" fontId="1993" fillId="0" borderId="2161" xfId="0" applyNumberFormat="1" applyFont="1" applyBorder="1" applyAlignment="1">
      <alignment horizontal="right"/>
    </xf>
    <xf numFmtId="164" fontId="2078" fillId="0" borderId="2253" xfId="0" applyNumberFormat="1" applyFont="1" applyBorder="1" applyAlignment="1">
      <alignment horizontal="right"/>
    </xf>
    <xf numFmtId="164" fontId="2161" fillId="0" borderId="2343" xfId="0" applyNumberFormat="1" applyFont="1" applyBorder="1" applyAlignment="1">
      <alignment horizontal="right"/>
    </xf>
    <xf numFmtId="164" fontId="2238" fillId="0" borderId="2427" xfId="0" applyNumberFormat="1" applyFont="1" applyBorder="1" applyAlignment="1">
      <alignment horizontal="right"/>
    </xf>
    <xf numFmtId="164" fontId="1994" fillId="0" borderId="2162" xfId="0" applyNumberFormat="1" applyFont="1" applyBorder="1" applyAlignment="1">
      <alignment horizontal="right"/>
    </xf>
    <xf numFmtId="164" fontId="2079" fillId="0" borderId="2254" xfId="0" applyNumberFormat="1" applyFont="1" applyBorder="1" applyAlignment="1">
      <alignment horizontal="right"/>
    </xf>
    <xf numFmtId="164" fontId="2162" fillId="0" borderId="2344" xfId="0" applyNumberFormat="1" applyFont="1" applyBorder="1" applyAlignment="1">
      <alignment horizontal="right"/>
    </xf>
    <xf numFmtId="164" fontId="2239" fillId="0" borderId="2428" xfId="0" applyNumberFormat="1" applyFont="1" applyBorder="1" applyAlignment="1">
      <alignment horizontal="right"/>
    </xf>
    <xf numFmtId="164" fontId="1995" fillId="0" borderId="2163" xfId="0" applyNumberFormat="1" applyFont="1" applyBorder="1" applyAlignment="1">
      <alignment horizontal="right"/>
    </xf>
    <xf numFmtId="164" fontId="2080" fillId="0" borderId="2255" xfId="0" applyNumberFormat="1" applyFont="1" applyBorder="1" applyAlignment="1">
      <alignment horizontal="right"/>
    </xf>
    <xf numFmtId="164" fontId="2163" fillId="0" borderId="2345" xfId="0" applyNumberFormat="1" applyFont="1" applyBorder="1" applyAlignment="1">
      <alignment horizontal="right"/>
    </xf>
    <xf numFmtId="164" fontId="2240" fillId="0" borderId="2429" xfId="0" applyNumberFormat="1" applyFont="1" applyBorder="1" applyAlignment="1">
      <alignment horizontal="right"/>
    </xf>
    <xf numFmtId="164" fontId="1996" fillId="0" borderId="2164" xfId="0" applyNumberFormat="1" applyFont="1" applyBorder="1" applyAlignment="1">
      <alignment horizontal="right"/>
    </xf>
    <xf numFmtId="164" fontId="2081" fillId="0" borderId="2256" xfId="0" applyNumberFormat="1" applyFont="1" applyBorder="1" applyAlignment="1">
      <alignment horizontal="right"/>
    </xf>
    <xf numFmtId="164" fontId="2164" fillId="0" borderId="2346" xfId="0" applyNumberFormat="1" applyFont="1" applyBorder="1" applyAlignment="1">
      <alignment horizontal="right"/>
    </xf>
    <xf numFmtId="164" fontId="2241" fillId="0" borderId="2430" xfId="0" applyNumberFormat="1" applyFont="1" applyBorder="1" applyAlignment="1">
      <alignment horizontal="right"/>
    </xf>
    <xf numFmtId="164" fontId="1997" fillId="0" borderId="2165" xfId="0" applyNumberFormat="1" applyFont="1" applyBorder="1" applyAlignment="1">
      <alignment horizontal="right"/>
    </xf>
    <xf numFmtId="164" fontId="2082" fillId="0" borderId="2257" xfId="0" applyNumberFormat="1" applyFont="1" applyBorder="1" applyAlignment="1">
      <alignment horizontal="right"/>
    </xf>
    <xf numFmtId="164" fontId="2165" fillId="0" borderId="2347" xfId="0" applyNumberFormat="1" applyFont="1" applyBorder="1" applyAlignment="1">
      <alignment horizontal="right"/>
    </xf>
    <xf numFmtId="164" fontId="2242" fillId="0" borderId="2431" xfId="0" applyNumberFormat="1" applyFont="1" applyBorder="1" applyAlignment="1">
      <alignment horizontal="right"/>
    </xf>
    <xf numFmtId="164" fontId="1998" fillId="0" borderId="2166" xfId="0" applyNumberFormat="1" applyFont="1" applyBorder="1" applyAlignment="1">
      <alignment horizontal="right"/>
    </xf>
    <xf numFmtId="164" fontId="2083" fillId="0" borderId="2258" xfId="0" applyNumberFormat="1" applyFont="1" applyBorder="1" applyAlignment="1">
      <alignment horizontal="right"/>
    </xf>
    <xf numFmtId="164" fontId="2166" fillId="0" borderId="2348" xfId="0" applyNumberFormat="1" applyFont="1" applyBorder="1" applyAlignment="1">
      <alignment horizontal="right"/>
    </xf>
    <xf numFmtId="164" fontId="2243" fillId="0" borderId="2432" xfId="0" applyNumberFormat="1" applyFont="1" applyBorder="1" applyAlignment="1">
      <alignment horizontal="right"/>
    </xf>
    <xf numFmtId="164" fontId="1999" fillId="0" borderId="2167" xfId="0" applyNumberFormat="1" applyFont="1" applyBorder="1" applyAlignment="1">
      <alignment horizontal="right"/>
    </xf>
    <xf numFmtId="164" fontId="2084" fillId="0" borderId="2259" xfId="0" applyNumberFormat="1" applyFont="1" applyBorder="1" applyAlignment="1">
      <alignment horizontal="right"/>
    </xf>
    <xf numFmtId="164" fontId="2167" fillId="0" borderId="2349" xfId="0" applyNumberFormat="1" applyFont="1" applyBorder="1" applyAlignment="1">
      <alignment horizontal="right"/>
    </xf>
    <xf numFmtId="164" fontId="2244" fillId="0" borderId="2433" xfId="0" applyNumberFormat="1" applyFont="1" applyBorder="1" applyAlignment="1">
      <alignment horizontal="right"/>
    </xf>
    <xf numFmtId="164" fontId="2000" fillId="0" borderId="2168" xfId="0" applyNumberFormat="1" applyFont="1" applyBorder="1" applyAlignment="1">
      <alignment horizontal="right"/>
    </xf>
    <xf numFmtId="164" fontId="2085" fillId="0" borderId="2260" xfId="0" applyNumberFormat="1" applyFont="1" applyBorder="1" applyAlignment="1">
      <alignment horizontal="right"/>
    </xf>
    <xf numFmtId="164" fontId="2168" fillId="0" borderId="2350" xfId="0" applyNumberFormat="1" applyFont="1" applyBorder="1" applyAlignment="1">
      <alignment horizontal="right"/>
    </xf>
    <xf numFmtId="164" fontId="2245" fillId="0" borderId="2434" xfId="0" applyNumberFormat="1" applyFont="1" applyBorder="1" applyAlignment="1">
      <alignment horizontal="right"/>
    </xf>
    <xf numFmtId="164" fontId="2001" fillId="0" borderId="2169" xfId="0" applyNumberFormat="1" applyFont="1" applyBorder="1" applyAlignment="1">
      <alignment horizontal="right"/>
    </xf>
    <xf numFmtId="164" fontId="2086" fillId="0" borderId="2261" xfId="0" applyNumberFormat="1" applyFont="1" applyBorder="1" applyAlignment="1">
      <alignment horizontal="right"/>
    </xf>
    <xf numFmtId="164" fontId="2169" fillId="0" borderId="2351" xfId="0" applyNumberFormat="1" applyFont="1" applyBorder="1" applyAlignment="1">
      <alignment horizontal="right"/>
    </xf>
    <xf numFmtId="164" fontId="2246" fillId="0" borderId="2435" xfId="0" applyNumberFormat="1" applyFont="1" applyBorder="1" applyAlignment="1">
      <alignment horizontal="right"/>
    </xf>
    <xf numFmtId="164" fontId="2002" fillId="0" borderId="2170" xfId="0" applyNumberFormat="1" applyFont="1" applyBorder="1" applyAlignment="1">
      <alignment horizontal="right"/>
    </xf>
    <xf numFmtId="164" fontId="2087" fillId="0" borderId="2262" xfId="0" applyNumberFormat="1" applyFont="1" applyBorder="1" applyAlignment="1">
      <alignment horizontal="right"/>
    </xf>
    <xf numFmtId="164" fontId="2170" fillId="0" borderId="2352" xfId="0" applyNumberFormat="1" applyFont="1" applyBorder="1" applyAlignment="1">
      <alignment horizontal="right"/>
    </xf>
    <xf numFmtId="164" fontId="2247" fillId="0" borderId="2436" xfId="0" applyNumberFormat="1" applyFont="1" applyBorder="1" applyAlignment="1">
      <alignment horizontal="right"/>
    </xf>
    <xf numFmtId="164" fontId="2003" fillId="0" borderId="2171" xfId="0" applyNumberFormat="1" applyFont="1" applyBorder="1" applyAlignment="1">
      <alignment horizontal="right"/>
    </xf>
    <xf numFmtId="164" fontId="2088" fillId="0" borderId="2263" xfId="0" applyNumberFormat="1" applyFont="1" applyBorder="1" applyAlignment="1">
      <alignment horizontal="right"/>
    </xf>
    <xf numFmtId="164" fontId="2171" fillId="0" borderId="2353" xfId="0" applyNumberFormat="1" applyFont="1" applyBorder="1" applyAlignment="1">
      <alignment horizontal="right"/>
    </xf>
    <xf numFmtId="164" fontId="2248" fillId="0" borderId="2437" xfId="0" applyNumberFormat="1" applyFont="1" applyBorder="1" applyAlignment="1">
      <alignment horizontal="right"/>
    </xf>
    <xf numFmtId="164" fontId="2004" fillId="0" borderId="2172" xfId="0" applyNumberFormat="1" applyFont="1" applyBorder="1" applyAlignment="1">
      <alignment horizontal="right"/>
    </xf>
    <xf numFmtId="164" fontId="2089" fillId="0" borderId="2264" xfId="0" applyNumberFormat="1" applyFont="1" applyBorder="1" applyAlignment="1">
      <alignment horizontal="right"/>
    </xf>
    <xf numFmtId="164" fontId="2172" fillId="0" borderId="2354" xfId="0" applyNumberFormat="1" applyFont="1" applyBorder="1" applyAlignment="1">
      <alignment horizontal="right"/>
    </xf>
    <xf numFmtId="164" fontId="2249" fillId="0" borderId="2438" xfId="0" applyNumberFormat="1" applyFont="1" applyBorder="1" applyAlignment="1">
      <alignment horizontal="right"/>
    </xf>
    <xf numFmtId="164" fontId="2005" fillId="0" borderId="2173" xfId="0" applyNumberFormat="1" applyFont="1" applyBorder="1" applyAlignment="1">
      <alignment horizontal="right"/>
    </xf>
    <xf numFmtId="164" fontId="2090" fillId="0" borderId="2265" xfId="0" applyNumberFormat="1" applyFont="1" applyBorder="1" applyAlignment="1">
      <alignment horizontal="right"/>
    </xf>
    <xf numFmtId="164" fontId="2173" fillId="0" borderId="2355" xfId="0" applyNumberFormat="1" applyFont="1" applyBorder="1" applyAlignment="1">
      <alignment horizontal="right"/>
    </xf>
    <xf numFmtId="164" fontId="2250" fillId="0" borderId="2439" xfId="0" applyNumberFormat="1" applyFont="1" applyBorder="1" applyAlignment="1">
      <alignment horizontal="right"/>
    </xf>
    <xf numFmtId="164" fontId="1981" fillId="0" borderId="2149" xfId="0" applyNumberFormat="1" applyFont="1" applyBorder="1" applyAlignment="1">
      <alignment horizontal="right"/>
    </xf>
    <xf numFmtId="164" fontId="2066" fillId="0" borderId="2241" xfId="0" applyNumberFormat="1" applyFont="1" applyBorder="1" applyAlignment="1">
      <alignment horizontal="right"/>
    </xf>
    <xf numFmtId="164" fontId="2151" fillId="0" borderId="2333" xfId="0" applyNumberFormat="1" applyFont="1" applyBorder="1" applyAlignment="1">
      <alignment horizontal="right"/>
    </xf>
    <xf numFmtId="164" fontId="2226" fillId="0" borderId="2415" xfId="0" applyNumberFormat="1" applyFont="1" applyBorder="1" applyAlignment="1">
      <alignment horizontal="right"/>
    </xf>
    <xf numFmtId="164" fontId="2011" fillId="0" borderId="2179" xfId="0" applyNumberFormat="1" applyFont="1" applyBorder="1" applyAlignment="1">
      <alignment horizontal="right"/>
    </xf>
    <xf numFmtId="164" fontId="2096" fillId="0" borderId="2271" xfId="0" applyNumberFormat="1" applyFont="1" applyBorder="1" applyAlignment="1">
      <alignment horizontal="right"/>
    </xf>
    <xf numFmtId="164" fontId="2177" fillId="0" borderId="2359" xfId="0" applyNumberFormat="1" applyFont="1" applyBorder="1" applyAlignment="1">
      <alignment horizontal="right"/>
    </xf>
    <xf numFmtId="164" fontId="2256" fillId="0" borderId="2445" xfId="0" applyNumberFormat="1" applyFont="1" applyBorder="1" applyAlignment="1">
      <alignment horizontal="right"/>
    </xf>
    <xf numFmtId="164" fontId="2012" fillId="0" borderId="2180" xfId="0" applyNumberFormat="1" applyFont="1" applyBorder="1" applyAlignment="1">
      <alignment horizontal="right"/>
    </xf>
    <xf numFmtId="164" fontId="2097" fillId="0" borderId="2272" xfId="0" applyNumberFormat="1" applyFont="1" applyBorder="1" applyAlignment="1">
      <alignment horizontal="right"/>
    </xf>
    <xf numFmtId="164" fontId="2178" fillId="0" borderId="2360" xfId="0" applyNumberFormat="1" applyFont="1" applyBorder="1" applyAlignment="1">
      <alignment horizontal="right"/>
    </xf>
    <xf numFmtId="164" fontId="2257" fillId="0" borderId="2446" xfId="0" applyNumberFormat="1" applyFont="1" applyBorder="1" applyAlignment="1">
      <alignment horizontal="right"/>
    </xf>
    <xf numFmtId="164" fontId="2013" fillId="0" borderId="2181" xfId="0" applyNumberFormat="1" applyFont="1" applyBorder="1" applyAlignment="1">
      <alignment horizontal="right"/>
    </xf>
    <xf numFmtId="164" fontId="2098" fillId="0" borderId="2273" xfId="0" applyNumberFormat="1" applyFont="1" applyBorder="1" applyAlignment="1">
      <alignment horizontal="right"/>
    </xf>
    <xf numFmtId="164" fontId="2179" fillId="0" borderId="2361" xfId="0" applyNumberFormat="1" applyFont="1" applyBorder="1" applyAlignment="1">
      <alignment horizontal="right"/>
    </xf>
    <xf numFmtId="164" fontId="2258" fillId="0" borderId="2447" xfId="0" applyNumberFormat="1" applyFont="1" applyBorder="1" applyAlignment="1">
      <alignment horizontal="right"/>
    </xf>
    <xf numFmtId="164" fontId="2014" fillId="0" borderId="2182" xfId="0" applyNumberFormat="1" applyFont="1" applyBorder="1" applyAlignment="1">
      <alignment horizontal="right"/>
    </xf>
    <xf numFmtId="164" fontId="2099" fillId="0" borderId="2274" xfId="0" applyNumberFormat="1" applyFont="1" applyBorder="1" applyAlignment="1">
      <alignment horizontal="right"/>
    </xf>
    <xf numFmtId="164" fontId="2180" fillId="0" borderId="2362" xfId="0" applyNumberFormat="1" applyFont="1" applyBorder="1" applyAlignment="1">
      <alignment horizontal="right"/>
    </xf>
    <xf numFmtId="164" fontId="2259" fillId="0" borderId="2448" xfId="0" applyNumberFormat="1" applyFont="1" applyBorder="1" applyAlignment="1">
      <alignment horizontal="right"/>
    </xf>
    <xf numFmtId="164" fontId="2015" fillId="0" borderId="2183" xfId="0" applyNumberFormat="1" applyFont="1" applyBorder="1" applyAlignment="1">
      <alignment horizontal="right"/>
    </xf>
    <xf numFmtId="164" fontId="2100" fillId="0" borderId="2275" xfId="0" applyNumberFormat="1" applyFont="1" applyBorder="1" applyAlignment="1">
      <alignment horizontal="right"/>
    </xf>
    <xf numFmtId="164" fontId="2181" fillId="0" borderId="2363" xfId="0" applyNumberFormat="1" applyFont="1" applyBorder="1" applyAlignment="1">
      <alignment horizontal="right"/>
    </xf>
    <xf numFmtId="164" fontId="2260" fillId="0" borderId="2449" xfId="0" applyNumberFormat="1" applyFont="1" applyBorder="1" applyAlignment="1">
      <alignment horizontal="right"/>
    </xf>
    <xf numFmtId="164" fontId="2016" fillId="0" borderId="2184" xfId="0" applyNumberFormat="1" applyFont="1" applyBorder="1" applyAlignment="1">
      <alignment horizontal="right"/>
    </xf>
    <xf numFmtId="164" fontId="2101" fillId="0" borderId="2276" xfId="0" applyNumberFormat="1" applyFont="1" applyBorder="1" applyAlignment="1">
      <alignment horizontal="right"/>
    </xf>
    <xf numFmtId="164" fontId="2182" fillId="0" borderId="2364" xfId="0" applyNumberFormat="1" applyFont="1" applyBorder="1" applyAlignment="1">
      <alignment horizontal="right"/>
    </xf>
    <xf numFmtId="164" fontId="2261" fillId="0" borderId="2450" xfId="0" applyNumberFormat="1" applyFont="1" applyBorder="1" applyAlignment="1">
      <alignment horizontal="right"/>
    </xf>
    <xf numFmtId="164" fontId="2017" fillId="0" borderId="2185" xfId="0" applyNumberFormat="1" applyFont="1" applyBorder="1" applyAlignment="1">
      <alignment horizontal="right"/>
    </xf>
    <xf numFmtId="164" fontId="2102" fillId="0" borderId="2277" xfId="0" applyNumberFormat="1" applyFont="1" applyBorder="1" applyAlignment="1">
      <alignment horizontal="right"/>
    </xf>
    <xf numFmtId="164" fontId="2183" fillId="0" borderId="2365" xfId="0" applyNumberFormat="1" applyFont="1" applyBorder="1" applyAlignment="1">
      <alignment horizontal="right"/>
    </xf>
    <xf numFmtId="164" fontId="2262" fillId="0" borderId="2451" xfId="0" applyNumberFormat="1" applyFont="1" applyBorder="1" applyAlignment="1">
      <alignment horizontal="right"/>
    </xf>
    <xf numFmtId="164" fontId="2018" fillId="0" borderId="2186" xfId="0" applyNumberFormat="1" applyFont="1" applyBorder="1" applyAlignment="1">
      <alignment horizontal="right"/>
    </xf>
    <xf numFmtId="164" fontId="2103" fillId="0" borderId="2278" xfId="0" applyNumberFormat="1" applyFont="1" applyBorder="1" applyAlignment="1">
      <alignment horizontal="right"/>
    </xf>
    <xf numFmtId="164" fontId="2184" fillId="0" borderId="2366" xfId="0" applyNumberFormat="1" applyFont="1" applyBorder="1" applyAlignment="1">
      <alignment horizontal="right"/>
    </xf>
    <xf numFmtId="164" fontId="2263" fillId="0" borderId="2452" xfId="0" applyNumberFormat="1" applyFont="1" applyBorder="1" applyAlignment="1">
      <alignment horizontal="right"/>
    </xf>
    <xf numFmtId="164" fontId="2019" fillId="0" borderId="2187" xfId="0" applyNumberFormat="1" applyFont="1" applyBorder="1" applyAlignment="1">
      <alignment horizontal="right"/>
    </xf>
    <xf numFmtId="164" fontId="2104" fillId="0" borderId="2279" xfId="0" applyNumberFormat="1" applyFont="1" applyBorder="1" applyAlignment="1">
      <alignment horizontal="right"/>
    </xf>
    <xf numFmtId="164" fontId="2185" fillId="0" borderId="2367" xfId="0" applyNumberFormat="1" applyFont="1" applyBorder="1" applyAlignment="1">
      <alignment horizontal="right"/>
    </xf>
    <xf numFmtId="164" fontId="2264" fillId="0" borderId="2453" xfId="0" applyNumberFormat="1" applyFont="1" applyBorder="1" applyAlignment="1">
      <alignment horizontal="right"/>
    </xf>
    <xf numFmtId="164" fontId="2020" fillId="0" borderId="2188" xfId="0" applyNumberFormat="1" applyFont="1" applyBorder="1" applyAlignment="1">
      <alignment horizontal="right"/>
    </xf>
    <xf numFmtId="164" fontId="2105" fillId="0" borderId="2280" xfId="0" applyNumberFormat="1" applyFont="1" applyBorder="1" applyAlignment="1">
      <alignment horizontal="right"/>
    </xf>
    <xf numFmtId="164" fontId="2186" fillId="0" borderId="2368" xfId="0" applyNumberFormat="1" applyFont="1" applyBorder="1" applyAlignment="1">
      <alignment horizontal="right"/>
    </xf>
    <xf numFmtId="164" fontId="2265" fillId="0" borderId="2454" xfId="0" applyNumberFormat="1" applyFont="1" applyBorder="1" applyAlignment="1">
      <alignment horizontal="right"/>
    </xf>
    <xf numFmtId="164" fontId="2021" fillId="0" borderId="2189" xfId="0" applyNumberFormat="1" applyFont="1" applyBorder="1" applyAlignment="1">
      <alignment horizontal="right"/>
    </xf>
    <xf numFmtId="164" fontId="2106" fillId="0" borderId="2281" xfId="0" applyNumberFormat="1" applyFont="1" applyBorder="1" applyAlignment="1">
      <alignment horizontal="right"/>
    </xf>
    <xf numFmtId="164" fontId="2187" fillId="0" borderId="2369" xfId="0" applyNumberFormat="1" applyFont="1" applyBorder="1" applyAlignment="1">
      <alignment horizontal="right"/>
    </xf>
    <xf numFmtId="164" fontId="2266" fillId="0" borderId="2455" xfId="0" applyNumberFormat="1" applyFont="1" applyBorder="1" applyAlignment="1">
      <alignment horizontal="right"/>
    </xf>
    <xf numFmtId="164" fontId="2022" fillId="0" borderId="2190" xfId="0" applyNumberFormat="1" applyFont="1" applyBorder="1" applyAlignment="1">
      <alignment horizontal="right"/>
    </xf>
    <xf numFmtId="164" fontId="2107" fillId="0" borderId="2282" xfId="0" applyNumberFormat="1" applyFont="1" applyBorder="1" applyAlignment="1">
      <alignment horizontal="right"/>
    </xf>
    <xf numFmtId="164" fontId="2188" fillId="0" borderId="2370" xfId="0" applyNumberFormat="1" applyFont="1" applyBorder="1" applyAlignment="1">
      <alignment horizontal="right"/>
    </xf>
    <xf numFmtId="164" fontId="2267" fillId="0" borderId="2456" xfId="0" applyNumberFormat="1" applyFont="1" applyBorder="1" applyAlignment="1">
      <alignment horizontal="right"/>
    </xf>
    <xf numFmtId="164" fontId="2023" fillId="0" borderId="2191" xfId="0" applyNumberFormat="1" applyFont="1" applyBorder="1" applyAlignment="1">
      <alignment horizontal="right"/>
    </xf>
    <xf numFmtId="164" fontId="2108" fillId="0" borderId="2283" xfId="0" applyNumberFormat="1" applyFont="1" applyBorder="1" applyAlignment="1">
      <alignment horizontal="right"/>
    </xf>
    <xf numFmtId="164" fontId="2189" fillId="0" borderId="2371" xfId="0" applyNumberFormat="1" applyFont="1" applyBorder="1" applyAlignment="1">
      <alignment horizontal="right"/>
    </xf>
    <xf numFmtId="164" fontId="2268" fillId="0" borderId="2457" xfId="0" applyNumberFormat="1" applyFont="1" applyBorder="1" applyAlignment="1">
      <alignment horizontal="right"/>
    </xf>
    <xf numFmtId="164" fontId="2024" fillId="0" borderId="2192" xfId="0" applyNumberFormat="1" applyFont="1" applyBorder="1" applyAlignment="1">
      <alignment horizontal="right"/>
    </xf>
    <xf numFmtId="164" fontId="2109" fillId="0" borderId="2284" xfId="0" applyNumberFormat="1" applyFont="1" applyBorder="1" applyAlignment="1">
      <alignment horizontal="right"/>
    </xf>
    <xf numFmtId="164" fontId="2190" fillId="0" borderId="2372" xfId="0" applyNumberFormat="1" applyFont="1" applyBorder="1" applyAlignment="1">
      <alignment horizontal="right"/>
    </xf>
    <xf numFmtId="164" fontId="2269" fillId="0" borderId="2458" xfId="0" applyNumberFormat="1" applyFont="1" applyBorder="1" applyAlignment="1">
      <alignment horizontal="right"/>
    </xf>
    <xf numFmtId="164" fontId="2025" fillId="0" borderId="2193" xfId="0" applyNumberFormat="1" applyFont="1" applyBorder="1" applyAlignment="1">
      <alignment horizontal="right"/>
    </xf>
    <xf numFmtId="164" fontId="2110" fillId="0" borderId="2285" xfId="0" applyNumberFormat="1" applyFont="1" applyBorder="1" applyAlignment="1">
      <alignment horizontal="right"/>
    </xf>
    <xf numFmtId="164" fontId="2191" fillId="0" borderId="2373" xfId="0" applyNumberFormat="1" applyFont="1" applyBorder="1" applyAlignment="1">
      <alignment horizontal="right"/>
    </xf>
    <xf numFmtId="164" fontId="2270" fillId="0" borderId="2459" xfId="0" applyNumberFormat="1" applyFont="1" applyBorder="1" applyAlignment="1">
      <alignment horizontal="right"/>
    </xf>
    <xf numFmtId="164" fontId="1982" fillId="0" borderId="2150" xfId="0" applyNumberFormat="1" applyFont="1" applyBorder="1" applyAlignment="1">
      <alignment horizontal="right"/>
    </xf>
    <xf numFmtId="164" fontId="2067" fillId="0" borderId="2242" xfId="0" applyNumberFormat="1" applyFont="1" applyBorder="1" applyAlignment="1">
      <alignment horizontal="right"/>
    </xf>
    <xf numFmtId="164" fontId="2152" fillId="0" borderId="2334" xfId="0" applyNumberFormat="1" applyFont="1" applyBorder="1" applyAlignment="1">
      <alignment horizontal="right"/>
    </xf>
    <xf numFmtId="164" fontId="2227" fillId="0" borderId="2416" xfId="0" applyNumberFormat="1" applyFont="1" applyBorder="1" applyAlignment="1">
      <alignment horizontal="right"/>
    </xf>
    <xf numFmtId="164" fontId="2031" fillId="0" borderId="2199" xfId="0" applyNumberFormat="1" applyFont="1" applyBorder="1" applyAlignment="1">
      <alignment horizontal="right"/>
    </xf>
    <xf numFmtId="164" fontId="2116" fillId="0" borderId="2291" xfId="0" applyNumberFormat="1" applyFont="1" applyBorder="1" applyAlignment="1">
      <alignment horizontal="right"/>
    </xf>
    <xf numFmtId="164" fontId="2195" fillId="0" borderId="2377" xfId="0" applyNumberFormat="1" applyFont="1" applyBorder="1" applyAlignment="1">
      <alignment horizontal="right"/>
    </xf>
    <xf numFmtId="164" fontId="2276" fillId="0" borderId="2465" xfId="0" applyNumberFormat="1" applyFont="1" applyBorder="1" applyAlignment="1">
      <alignment horizontal="right"/>
    </xf>
    <xf numFmtId="164" fontId="2032" fillId="0" borderId="2200" xfId="0" applyNumberFormat="1" applyFont="1" applyBorder="1" applyAlignment="1">
      <alignment horizontal="right"/>
    </xf>
    <xf numFmtId="164" fontId="2117" fillId="0" borderId="2292" xfId="0" applyNumberFormat="1" applyFont="1" applyBorder="1" applyAlignment="1">
      <alignment horizontal="right"/>
    </xf>
    <xf numFmtId="164" fontId="2196" fillId="0" borderId="2378" xfId="0" applyNumberFormat="1" applyFont="1" applyBorder="1" applyAlignment="1">
      <alignment horizontal="right"/>
    </xf>
    <xf numFmtId="164" fontId="2277" fillId="0" borderId="2466" xfId="0" applyNumberFormat="1" applyFont="1" applyBorder="1" applyAlignment="1">
      <alignment horizontal="right"/>
    </xf>
    <xf numFmtId="164" fontId="2033" fillId="0" borderId="2201" xfId="0" applyNumberFormat="1" applyFont="1" applyBorder="1" applyAlignment="1">
      <alignment horizontal="right"/>
    </xf>
    <xf numFmtId="164" fontId="2118" fillId="0" borderId="2293" xfId="0" applyNumberFormat="1" applyFont="1" applyBorder="1" applyAlignment="1">
      <alignment horizontal="right"/>
    </xf>
    <xf numFmtId="164" fontId="2197" fillId="0" borderId="2379" xfId="0" applyNumberFormat="1" applyFont="1" applyBorder="1" applyAlignment="1">
      <alignment horizontal="right"/>
    </xf>
    <xf numFmtId="164" fontId="2278" fillId="0" borderId="2467" xfId="0" applyNumberFormat="1" applyFont="1" applyBorder="1" applyAlignment="1">
      <alignment horizontal="right"/>
    </xf>
    <xf numFmtId="164" fontId="2034" fillId="0" borderId="2202" xfId="0" applyNumberFormat="1" applyFont="1" applyBorder="1" applyAlignment="1">
      <alignment horizontal="right"/>
    </xf>
    <xf numFmtId="164" fontId="2119" fillId="0" borderId="2294" xfId="0" applyNumberFormat="1" applyFont="1" applyBorder="1" applyAlignment="1">
      <alignment horizontal="right"/>
    </xf>
    <xf numFmtId="164" fontId="2198" fillId="0" borderId="2380" xfId="0" applyNumberFormat="1" applyFont="1" applyBorder="1" applyAlignment="1">
      <alignment horizontal="right"/>
    </xf>
    <xf numFmtId="164" fontId="2279" fillId="0" borderId="2468" xfId="0" applyNumberFormat="1" applyFont="1" applyBorder="1" applyAlignment="1">
      <alignment horizontal="right"/>
    </xf>
    <xf numFmtId="164" fontId="2035" fillId="0" borderId="2203" xfId="0" applyNumberFormat="1" applyFont="1" applyBorder="1" applyAlignment="1">
      <alignment horizontal="right"/>
    </xf>
    <xf numFmtId="164" fontId="2120" fillId="0" borderId="2295" xfId="0" applyNumberFormat="1" applyFont="1" applyBorder="1" applyAlignment="1">
      <alignment horizontal="right"/>
    </xf>
    <xf numFmtId="164" fontId="2199" fillId="0" borderId="2381" xfId="0" applyNumberFormat="1" applyFont="1" applyBorder="1" applyAlignment="1">
      <alignment horizontal="right"/>
    </xf>
    <xf numFmtId="164" fontId="2280" fillId="0" borderId="2469" xfId="0" applyNumberFormat="1" applyFont="1" applyBorder="1" applyAlignment="1">
      <alignment horizontal="right"/>
    </xf>
    <xf numFmtId="164" fontId="2036" fillId="0" borderId="2204" xfId="0" applyNumberFormat="1" applyFont="1" applyBorder="1" applyAlignment="1">
      <alignment horizontal="right"/>
    </xf>
    <xf numFmtId="164" fontId="2121" fillId="0" borderId="2296" xfId="0" applyNumberFormat="1" applyFont="1" applyBorder="1" applyAlignment="1">
      <alignment horizontal="right"/>
    </xf>
    <xf numFmtId="164" fontId="2200" fillId="0" borderId="2382" xfId="0" applyNumberFormat="1" applyFont="1" applyBorder="1" applyAlignment="1">
      <alignment horizontal="right"/>
    </xf>
    <xf numFmtId="164" fontId="2281" fillId="0" borderId="2470" xfId="0" applyNumberFormat="1" applyFont="1" applyBorder="1" applyAlignment="1">
      <alignment horizontal="right"/>
    </xf>
    <xf numFmtId="164" fontId="2037" fillId="0" borderId="2205" xfId="0" applyNumberFormat="1" applyFont="1" applyBorder="1" applyAlignment="1">
      <alignment horizontal="right"/>
    </xf>
    <xf numFmtId="164" fontId="2122" fillId="0" borderId="2297" xfId="0" applyNumberFormat="1" applyFont="1" applyBorder="1" applyAlignment="1">
      <alignment horizontal="right"/>
    </xf>
    <xf numFmtId="164" fontId="2201" fillId="0" borderId="2383" xfId="0" applyNumberFormat="1" applyFont="1" applyBorder="1" applyAlignment="1">
      <alignment horizontal="right"/>
    </xf>
    <xf numFmtId="164" fontId="2282" fillId="0" borderId="2471" xfId="0" applyNumberFormat="1" applyFont="1" applyBorder="1" applyAlignment="1">
      <alignment horizontal="right"/>
    </xf>
    <xf numFmtId="164" fontId="2038" fillId="0" borderId="2206" xfId="0" applyNumberFormat="1" applyFont="1" applyBorder="1" applyAlignment="1">
      <alignment horizontal="right"/>
    </xf>
    <xf numFmtId="164" fontId="2123" fillId="0" borderId="2298" xfId="0" applyNumberFormat="1" applyFont="1" applyBorder="1" applyAlignment="1">
      <alignment horizontal="right"/>
    </xf>
    <xf numFmtId="164" fontId="2202" fillId="0" borderId="2384" xfId="0" applyNumberFormat="1" applyFont="1" applyBorder="1" applyAlignment="1">
      <alignment horizontal="right"/>
    </xf>
    <xf numFmtId="164" fontId="2283" fillId="0" borderId="2472" xfId="0" applyNumberFormat="1" applyFont="1" applyBorder="1" applyAlignment="1">
      <alignment horizontal="right"/>
    </xf>
    <xf numFmtId="164" fontId="2039" fillId="0" borderId="2207" xfId="0" applyNumberFormat="1" applyFont="1" applyBorder="1" applyAlignment="1">
      <alignment horizontal="right"/>
    </xf>
    <xf numFmtId="164" fontId="2124" fillId="0" borderId="2299" xfId="0" applyNumberFormat="1" applyFont="1" applyBorder="1" applyAlignment="1">
      <alignment horizontal="right"/>
    </xf>
    <xf numFmtId="164" fontId="2203" fillId="0" borderId="2385" xfId="0" applyNumberFormat="1" applyFont="1" applyBorder="1" applyAlignment="1">
      <alignment horizontal="right"/>
    </xf>
    <xf numFmtId="164" fontId="2284" fillId="0" borderId="2473" xfId="0" applyNumberFormat="1" applyFont="1" applyBorder="1" applyAlignment="1">
      <alignment horizontal="right"/>
    </xf>
    <xf numFmtId="164" fontId="2040" fillId="0" borderId="2208" xfId="0" applyNumberFormat="1" applyFont="1" applyBorder="1" applyAlignment="1">
      <alignment horizontal="right"/>
    </xf>
    <xf numFmtId="164" fontId="2125" fillId="0" borderId="2300" xfId="0" applyNumberFormat="1" applyFont="1" applyBorder="1" applyAlignment="1">
      <alignment horizontal="right"/>
    </xf>
    <xf numFmtId="164" fontId="2204" fillId="0" borderId="2386" xfId="0" applyNumberFormat="1" applyFont="1" applyBorder="1" applyAlignment="1">
      <alignment horizontal="right"/>
    </xf>
    <xf numFmtId="164" fontId="2285" fillId="0" borderId="2474" xfId="0" applyNumberFormat="1" applyFont="1" applyBorder="1" applyAlignment="1">
      <alignment horizontal="right"/>
    </xf>
    <xf numFmtId="164" fontId="2041" fillId="0" borderId="2209" xfId="0" applyNumberFormat="1" applyFont="1" applyBorder="1" applyAlignment="1">
      <alignment horizontal="right"/>
    </xf>
    <xf numFmtId="164" fontId="2126" fillId="0" borderId="2301" xfId="0" applyNumberFormat="1" applyFont="1" applyBorder="1" applyAlignment="1">
      <alignment horizontal="right"/>
    </xf>
    <xf numFmtId="164" fontId="2205" fillId="0" borderId="2387" xfId="0" applyNumberFormat="1" applyFont="1" applyBorder="1" applyAlignment="1">
      <alignment horizontal="right"/>
    </xf>
    <xf numFmtId="164" fontId="2286" fillId="0" borderId="2475" xfId="0" applyNumberFormat="1" applyFont="1" applyBorder="1" applyAlignment="1">
      <alignment horizontal="right"/>
    </xf>
    <xf numFmtId="164" fontId="2042" fillId="0" borderId="2210" xfId="0" applyNumberFormat="1" applyFont="1" applyBorder="1" applyAlignment="1">
      <alignment horizontal="right"/>
    </xf>
    <xf numFmtId="164" fontId="2127" fillId="0" borderId="2302" xfId="0" applyNumberFormat="1" applyFont="1" applyBorder="1" applyAlignment="1">
      <alignment horizontal="right"/>
    </xf>
    <xf numFmtId="164" fontId="2206" fillId="0" borderId="2388" xfId="0" applyNumberFormat="1" applyFont="1" applyBorder="1" applyAlignment="1">
      <alignment horizontal="right"/>
    </xf>
    <xf numFmtId="164" fontId="2287" fillId="0" borderId="2476" xfId="0" applyNumberFormat="1" applyFont="1" applyBorder="1" applyAlignment="1">
      <alignment horizontal="right"/>
    </xf>
    <xf numFmtId="164" fontId="2043" fillId="0" borderId="2211" xfId="0" applyNumberFormat="1" applyFont="1" applyBorder="1" applyAlignment="1">
      <alignment horizontal="right"/>
    </xf>
    <xf numFmtId="164" fontId="2128" fillId="0" borderId="2303" xfId="0" applyNumberFormat="1" applyFont="1" applyBorder="1" applyAlignment="1">
      <alignment horizontal="right"/>
    </xf>
    <xf numFmtId="164" fontId="2207" fillId="0" borderId="2389" xfId="0" applyNumberFormat="1" applyFont="1" applyBorder="1" applyAlignment="1">
      <alignment horizontal="right"/>
    </xf>
    <xf numFmtId="164" fontId="2288" fillId="0" borderId="2477" xfId="0" applyNumberFormat="1" applyFont="1" applyBorder="1" applyAlignment="1">
      <alignment horizontal="right"/>
    </xf>
    <xf numFmtId="164" fontId="2044" fillId="0" borderId="2212" xfId="0" applyNumberFormat="1" applyFont="1" applyBorder="1" applyAlignment="1">
      <alignment horizontal="right"/>
    </xf>
    <xf numFmtId="164" fontId="2129" fillId="0" borderId="2304" xfId="0" applyNumberFormat="1" applyFont="1" applyBorder="1" applyAlignment="1">
      <alignment horizontal="right"/>
    </xf>
    <xf numFmtId="164" fontId="2208" fillId="0" borderId="2390" xfId="0" applyNumberFormat="1" applyFont="1" applyBorder="1" applyAlignment="1">
      <alignment horizontal="right"/>
    </xf>
    <xf numFmtId="164" fontId="2289" fillId="0" borderId="2478" xfId="0" applyNumberFormat="1" applyFont="1" applyBorder="1" applyAlignment="1">
      <alignment horizontal="right"/>
    </xf>
    <xf numFmtId="164" fontId="1983" fillId="0" borderId="2151" xfId="0" applyNumberFormat="1" applyFont="1" applyBorder="1" applyAlignment="1">
      <alignment horizontal="right"/>
    </xf>
    <xf numFmtId="164" fontId="2068" fillId="0" borderId="2243" xfId="0" applyNumberFormat="1" applyFont="1" applyBorder="1" applyAlignment="1">
      <alignment horizontal="right"/>
    </xf>
    <xf numFmtId="164" fontId="2153" fillId="0" borderId="2335" xfId="0" applyNumberFormat="1" applyFont="1" applyBorder="1" applyAlignment="1">
      <alignment horizontal="right"/>
    </xf>
    <xf numFmtId="164" fontId="2228" fillId="0" borderId="2417" xfId="0" applyNumberFormat="1" applyFont="1" applyBorder="1" applyAlignment="1">
      <alignment horizontal="right"/>
    </xf>
    <xf numFmtId="164" fontId="2050" fillId="0" borderId="2218" xfId="0" applyNumberFormat="1" applyFont="1" applyBorder="1" applyAlignment="1">
      <alignment horizontal="right"/>
    </xf>
    <xf numFmtId="164" fontId="2135" fillId="0" borderId="2310" xfId="0" applyNumberFormat="1" applyFont="1" applyBorder="1" applyAlignment="1">
      <alignment horizontal="right"/>
    </xf>
    <xf numFmtId="164" fontId="2212" fillId="0" borderId="2394" xfId="0" applyNumberFormat="1" applyFont="1" applyBorder="1" applyAlignment="1">
      <alignment horizontal="right"/>
    </xf>
    <xf numFmtId="164" fontId="2295" fillId="0" borderId="2484" xfId="0" applyNumberFormat="1" applyFont="1" applyBorder="1" applyAlignment="1">
      <alignment horizontal="right"/>
    </xf>
    <xf numFmtId="164" fontId="2051" fillId="0" borderId="2219" xfId="0" applyNumberFormat="1" applyFont="1" applyBorder="1" applyAlignment="1">
      <alignment horizontal="right"/>
    </xf>
    <xf numFmtId="164" fontId="2136" fillId="0" borderId="2311" xfId="0" applyNumberFormat="1" applyFont="1" applyBorder="1" applyAlignment="1">
      <alignment horizontal="right"/>
    </xf>
    <xf numFmtId="164" fontId="2213" fillId="0" borderId="2395" xfId="0" applyNumberFormat="1" applyFont="1" applyBorder="1" applyAlignment="1">
      <alignment horizontal="right"/>
    </xf>
    <xf numFmtId="164" fontId="2296" fillId="0" borderId="2485" xfId="0" applyNumberFormat="1" applyFont="1" applyBorder="1" applyAlignment="1">
      <alignment horizontal="right"/>
    </xf>
    <xf numFmtId="164" fontId="2052" fillId="0" borderId="2220" xfId="0" applyNumberFormat="1" applyFont="1" applyBorder="1" applyAlignment="1">
      <alignment horizontal="right"/>
    </xf>
    <xf numFmtId="164" fontId="2137" fillId="0" borderId="2312" xfId="0" applyNumberFormat="1" applyFont="1" applyBorder="1" applyAlignment="1">
      <alignment horizontal="right"/>
    </xf>
    <xf numFmtId="164" fontId="2214" fillId="0" borderId="2396" xfId="0" applyNumberFormat="1" applyFont="1" applyBorder="1" applyAlignment="1">
      <alignment horizontal="right"/>
    </xf>
    <xf numFmtId="164" fontId="2297" fillId="0" borderId="2486" xfId="0" applyNumberFormat="1" applyFont="1" applyBorder="1" applyAlignment="1">
      <alignment horizontal="right"/>
    </xf>
    <xf numFmtId="164" fontId="2053" fillId="0" borderId="2221" xfId="0" applyNumberFormat="1" applyFont="1" applyBorder="1" applyAlignment="1">
      <alignment horizontal="right"/>
    </xf>
    <xf numFmtId="164" fontId="2138" fillId="0" borderId="2313" xfId="0" applyNumberFormat="1" applyFont="1" applyBorder="1" applyAlignment="1">
      <alignment horizontal="right"/>
    </xf>
    <xf numFmtId="164" fontId="2215" fillId="0" borderId="2397" xfId="0" applyNumberFormat="1" applyFont="1" applyBorder="1" applyAlignment="1">
      <alignment horizontal="right"/>
    </xf>
    <xf numFmtId="164" fontId="2298" fillId="0" borderId="2487" xfId="0" applyNumberFormat="1" applyFont="1" applyBorder="1" applyAlignment="1">
      <alignment horizontal="right"/>
    </xf>
    <xf numFmtId="164" fontId="2054" fillId="0" borderId="2222" xfId="0" applyNumberFormat="1" applyFont="1" applyBorder="1" applyAlignment="1">
      <alignment horizontal="right"/>
    </xf>
    <xf numFmtId="164" fontId="2139" fillId="0" borderId="2314" xfId="0" applyNumberFormat="1" applyFont="1" applyBorder="1" applyAlignment="1">
      <alignment horizontal="right"/>
    </xf>
    <xf numFmtId="164" fontId="2216" fillId="0" borderId="2398" xfId="0" applyNumberFormat="1" applyFont="1" applyBorder="1" applyAlignment="1">
      <alignment horizontal="right"/>
    </xf>
    <xf numFmtId="164" fontId="2299" fillId="0" borderId="2488" xfId="0" applyNumberFormat="1" applyFont="1" applyBorder="1" applyAlignment="1">
      <alignment horizontal="right"/>
    </xf>
    <xf numFmtId="164" fontId="2055" fillId="0" borderId="2223" xfId="0" applyNumberFormat="1" applyFont="1" applyBorder="1" applyAlignment="1">
      <alignment horizontal="right"/>
    </xf>
    <xf numFmtId="164" fontId="2140" fillId="0" borderId="2315" xfId="0" applyNumberFormat="1" applyFont="1" applyBorder="1" applyAlignment="1">
      <alignment horizontal="right"/>
    </xf>
    <xf numFmtId="164" fontId="2217" fillId="0" borderId="2399" xfId="0" applyNumberFormat="1" applyFont="1" applyBorder="1" applyAlignment="1">
      <alignment horizontal="right"/>
    </xf>
    <xf numFmtId="164" fontId="2300" fillId="0" borderId="2489" xfId="0" applyNumberFormat="1" applyFont="1" applyBorder="1" applyAlignment="1">
      <alignment horizontal="right"/>
    </xf>
    <xf numFmtId="164" fontId="1" fillId="0" borderId="2224" xfId="0" applyNumberFormat="1" applyFont="1" applyBorder="1" applyAlignment="1">
      <alignment horizontal="right"/>
    </xf>
    <xf numFmtId="164" fontId="1" fillId="0" borderId="2316" xfId="0" applyNumberFormat="1" applyFont="1" applyBorder="1" applyAlignment="1">
      <alignment horizontal="right"/>
    </xf>
    <xf numFmtId="164" fontId="1" fillId="0" borderId="2400" xfId="0" applyNumberFormat="1" applyFont="1" applyBorder="1" applyAlignment="1">
      <alignment horizontal="right"/>
    </xf>
    <xf numFmtId="164" fontId="1" fillId="0" borderId="2490" xfId="0" applyNumberFormat="1" applyFont="1" applyBorder="1" applyAlignment="1">
      <alignment horizontal="right"/>
    </xf>
    <xf numFmtId="164" fontId="1" fillId="0" borderId="2225" xfId="0" applyNumberFormat="1" applyFont="1" applyBorder="1" applyAlignment="1">
      <alignment horizontal="right"/>
    </xf>
    <xf numFmtId="164" fontId="1" fillId="0" borderId="2317" xfId="0" applyNumberFormat="1" applyFont="1" applyBorder="1" applyAlignment="1">
      <alignment horizontal="right"/>
    </xf>
    <xf numFmtId="164" fontId="1" fillId="0" borderId="2401" xfId="0" applyNumberFormat="1" applyFont="1" applyBorder="1" applyAlignment="1">
      <alignment horizontal="right"/>
    </xf>
    <xf numFmtId="164" fontId="1" fillId="0" borderId="2491" xfId="0" applyNumberFormat="1" applyFont="1" applyBorder="1" applyAlignment="1">
      <alignment horizontal="right"/>
    </xf>
    <xf numFmtId="164" fontId="1" fillId="0" borderId="2226" xfId="0" applyNumberFormat="1" applyFont="1" applyBorder="1" applyAlignment="1">
      <alignment horizontal="right"/>
    </xf>
    <xf numFmtId="164" fontId="1" fillId="0" borderId="2318" xfId="0" applyNumberFormat="1" applyFont="1" applyBorder="1" applyAlignment="1">
      <alignment horizontal="right"/>
    </xf>
    <xf numFmtId="164" fontId="1" fillId="0" borderId="2402" xfId="0" applyNumberFormat="1" applyFont="1" applyBorder="1" applyAlignment="1">
      <alignment horizontal="right"/>
    </xf>
    <xf numFmtId="164" fontId="1" fillId="0" borderId="2492" xfId="0" applyNumberFormat="1" applyFont="1" applyBorder="1" applyAlignment="1">
      <alignment horizontal="right"/>
    </xf>
    <xf numFmtId="164" fontId="1" fillId="0" borderId="2227" xfId="0" applyNumberFormat="1" applyFont="1" applyBorder="1" applyAlignment="1">
      <alignment horizontal="right"/>
    </xf>
    <xf numFmtId="164" fontId="1" fillId="0" borderId="2319" xfId="0" applyNumberFormat="1" applyFont="1" applyBorder="1" applyAlignment="1">
      <alignment horizontal="right"/>
    </xf>
    <xf numFmtId="164" fontId="1" fillId="0" borderId="2403" xfId="0" applyNumberFormat="1" applyFont="1" applyBorder="1" applyAlignment="1">
      <alignment horizontal="right"/>
    </xf>
    <xf numFmtId="164" fontId="1" fillId="0" borderId="2493" xfId="0" applyNumberFormat="1" applyFont="1" applyBorder="1" applyAlignment="1">
      <alignment horizontal="right"/>
    </xf>
    <xf numFmtId="164" fontId="1" fillId="0" borderId="2228" xfId="0" applyNumberFormat="1" applyFont="1" applyBorder="1" applyAlignment="1">
      <alignment horizontal="right"/>
    </xf>
    <xf numFmtId="164" fontId="1" fillId="0" borderId="2320" xfId="0" applyNumberFormat="1" applyFont="1" applyBorder="1" applyAlignment="1">
      <alignment horizontal="right"/>
    </xf>
    <xf numFmtId="164" fontId="1" fillId="0" borderId="2404" xfId="0" applyNumberFormat="1" applyFont="1" applyBorder="1" applyAlignment="1">
      <alignment horizontal="right"/>
    </xf>
    <xf numFmtId="164" fontId="1" fillId="0" borderId="2494" xfId="0" applyNumberFormat="1" applyFont="1" applyBorder="1" applyAlignment="1">
      <alignment horizontal="right"/>
    </xf>
    <xf numFmtId="164" fontId="1" fillId="0" borderId="2229" xfId="0" applyNumberFormat="1" applyFont="1" applyBorder="1" applyAlignment="1">
      <alignment horizontal="right"/>
    </xf>
    <xf numFmtId="164" fontId="1" fillId="0" borderId="2321" xfId="0" applyNumberFormat="1" applyFont="1" applyBorder="1" applyAlignment="1">
      <alignment horizontal="right"/>
    </xf>
    <xf numFmtId="164" fontId="1" fillId="0" borderId="2405" xfId="0" applyNumberFormat="1" applyFont="1" applyBorder="1" applyAlignment="1">
      <alignment horizontal="right"/>
    </xf>
    <xf numFmtId="164" fontId="1" fillId="0" borderId="2495" xfId="0" applyNumberFormat="1" applyFont="1" applyBorder="1" applyAlignment="1">
      <alignment horizontal="right"/>
    </xf>
    <xf numFmtId="164" fontId="1" fillId="0" borderId="2230" xfId="0" applyNumberFormat="1" applyFont="1" applyBorder="1" applyAlignment="1">
      <alignment horizontal="right"/>
    </xf>
    <xf numFmtId="164" fontId="1" fillId="0" borderId="2322" xfId="0" applyNumberFormat="1" applyFont="1" applyBorder="1" applyAlignment="1">
      <alignment horizontal="right"/>
    </xf>
    <xf numFmtId="164" fontId="1" fillId="0" borderId="2406" xfId="0" applyNumberFormat="1" applyFont="1" applyBorder="1" applyAlignment="1">
      <alignment horizontal="right"/>
    </xf>
    <xf numFmtId="164" fontId="1" fillId="0" borderId="2496" xfId="0" applyNumberFormat="1" applyFont="1" applyBorder="1" applyAlignment="1">
      <alignment horizontal="right"/>
    </xf>
    <xf numFmtId="164" fontId="2056" fillId="0" borderId="2231" xfId="0" applyNumberFormat="1" applyFont="1" applyBorder="1" applyAlignment="1">
      <alignment horizontal="right"/>
    </xf>
    <xf numFmtId="164" fontId="2141" fillId="0" borderId="2323" xfId="0" applyNumberFormat="1" applyFont="1" applyBorder="1" applyAlignment="1">
      <alignment horizontal="right"/>
    </xf>
    <xf numFmtId="164" fontId="2218" fillId="0" borderId="2407" xfId="0" applyNumberFormat="1" applyFont="1" applyBorder="1" applyAlignment="1">
      <alignment horizontal="right"/>
    </xf>
    <xf numFmtId="164" fontId="2301" fillId="0" borderId="2497" xfId="0" applyNumberFormat="1" applyFont="1" applyBorder="1" applyAlignment="1">
      <alignment horizontal="right"/>
    </xf>
    <xf numFmtId="164" fontId="1984" fillId="0" borderId="2152" xfId="0" applyNumberFormat="1" applyFont="1" applyBorder="1" applyAlignment="1">
      <alignment horizontal="right"/>
    </xf>
    <xf numFmtId="164" fontId="2069" fillId="0" borderId="2244" xfId="0" applyNumberFormat="1" applyFont="1" applyBorder="1" applyAlignment="1">
      <alignment horizontal="right"/>
    </xf>
    <xf numFmtId="164" fontId="2154" fillId="0" borderId="2336" xfId="0" applyNumberFormat="1" applyFont="1" applyBorder="1" applyAlignment="1">
      <alignment horizontal="right"/>
    </xf>
    <xf numFmtId="164" fontId="2229" fillId="0" borderId="2418" xfId="0" applyNumberFormat="1" applyFont="1" applyBorder="1" applyAlignment="1">
      <alignment horizontal="right"/>
    </xf>
    <xf numFmtId="164" fontId="2062" fillId="0" borderId="2237" xfId="0" applyNumberFormat="1" applyFont="1" applyBorder="1" applyAlignment="1">
      <alignment horizontal="right"/>
    </xf>
    <xf numFmtId="164" fontId="2147" fillId="0" borderId="2329" xfId="0" applyNumberFormat="1" applyFont="1" applyBorder="1" applyAlignment="1">
      <alignment horizontal="right"/>
    </xf>
    <xf numFmtId="164" fontId="2222" fillId="0" borderId="2411" xfId="0" applyNumberFormat="1" applyFont="1" applyBorder="1" applyAlignment="1">
      <alignment horizontal="right"/>
    </xf>
    <xf numFmtId="164" fontId="2307" fillId="0" borderId="2503" xfId="0" applyNumberFormat="1" applyFont="1" applyBorder="1" applyAlignment="1">
      <alignment horizontal="right"/>
    </xf>
    <xf numFmtId="164" fontId="2063" fillId="0" borderId="2238" xfId="0" applyNumberFormat="1" applyFont="1" applyBorder="1" applyAlignment="1">
      <alignment horizontal="right"/>
    </xf>
    <xf numFmtId="164" fontId="2148" fillId="0" borderId="2330" xfId="0" applyNumberFormat="1" applyFont="1" applyBorder="1" applyAlignment="1">
      <alignment horizontal="right"/>
    </xf>
    <xf numFmtId="164" fontId="2223" fillId="0" borderId="2412" xfId="0" applyNumberFormat="1" applyFont="1" applyBorder="1" applyAlignment="1">
      <alignment horizontal="right"/>
    </xf>
    <xf numFmtId="164" fontId="2308" fillId="0" borderId="2504" xfId="0" applyNumberFormat="1" applyFont="1" applyBorder="1" applyAlignment="1">
      <alignment horizontal="right"/>
    </xf>
    <xf numFmtId="164" fontId="2064" fillId="0" borderId="2239" xfId="0" applyNumberFormat="1" applyFont="1" applyBorder="1" applyAlignment="1">
      <alignment horizontal="right"/>
    </xf>
    <xf numFmtId="164" fontId="2149" fillId="0" borderId="2331" xfId="0" applyNumberFormat="1" applyFont="1" applyBorder="1" applyAlignment="1">
      <alignment horizontal="right"/>
    </xf>
    <xf numFmtId="164" fontId="2224" fillId="0" borderId="2413" xfId="0" applyNumberFormat="1" applyFont="1" applyBorder="1" applyAlignment="1">
      <alignment horizontal="right"/>
    </xf>
    <xf numFmtId="164" fontId="2309" fillId="0" borderId="2505" xfId="0" applyNumberFormat="1" applyFont="1" applyBorder="1" applyAlignment="1">
      <alignment horizontal="right"/>
    </xf>
    <xf numFmtId="164" fontId="2065" fillId="0" borderId="2240" xfId="0" applyNumberFormat="1" applyFont="1" applyBorder="1" applyAlignment="1">
      <alignment horizontal="right"/>
    </xf>
    <xf numFmtId="164" fontId="2150" fillId="0" borderId="2332" xfId="0" applyNumberFormat="1" applyFont="1" applyBorder="1" applyAlignment="1">
      <alignment horizontal="right"/>
    </xf>
    <xf numFmtId="164" fontId="2225" fillId="0" borderId="2414" xfId="0" applyNumberFormat="1" applyFont="1" applyBorder="1" applyAlignment="1">
      <alignment horizontal="right"/>
    </xf>
    <xf numFmtId="164" fontId="2310" fillId="0" borderId="2506" xfId="0" applyNumberFormat="1" applyFont="1" applyBorder="1" applyAlignment="1">
      <alignment horizontal="right"/>
    </xf>
    <xf numFmtId="164" fontId="1985" fillId="0" borderId="2153" xfId="0" applyNumberFormat="1" applyFont="1" applyBorder="1" applyAlignment="1">
      <alignment horizontal="right"/>
    </xf>
    <xf numFmtId="164" fontId="2070" fillId="0" borderId="2245" xfId="0" applyNumberFormat="1" applyFont="1" applyBorder="1" applyAlignment="1">
      <alignment horizontal="right"/>
    </xf>
    <xf numFmtId="164" fontId="2155" fillId="0" borderId="2337" xfId="0" applyNumberFormat="1" applyFont="1" applyBorder="1" applyAlignment="1">
      <alignment horizontal="right"/>
    </xf>
    <xf numFmtId="164" fontId="2230" fillId="0" borderId="2419" xfId="0" applyNumberFormat="1" applyFont="1" applyBorder="1" applyAlignment="1">
      <alignment horizontal="right"/>
    </xf>
    <xf numFmtId="164" fontId="4880" fillId="0" borderId="5216" xfId="0" applyNumberFormat="1" applyFont="1" applyBorder="1" applyAlignment="1">
      <alignment horizontal="right"/>
    </xf>
    <xf numFmtId="164" fontId="4919" fillId="0" borderId="5255" xfId="0" applyNumberFormat="1" applyFont="1" applyBorder="1" applyAlignment="1">
      <alignment horizontal="right"/>
    </xf>
    <xf numFmtId="164" fontId="4956" fillId="0" borderId="5292" xfId="0" applyNumberFormat="1" applyFont="1" applyBorder="1" applyAlignment="1">
      <alignment horizontal="right"/>
    </xf>
    <xf numFmtId="164" fontId="4993" fillId="0" borderId="5329" xfId="0" applyNumberFormat="1" applyFont="1" applyBorder="1" applyAlignment="1">
      <alignment horizontal="right"/>
    </xf>
    <xf numFmtId="164" fontId="4881" fillId="0" borderId="5217" xfId="0" applyNumberFormat="1" applyFont="1" applyBorder="1" applyAlignment="1">
      <alignment horizontal="right"/>
    </xf>
    <xf numFmtId="164" fontId="4920" fillId="0" borderId="5256" xfId="0" applyNumberFormat="1" applyFont="1" applyBorder="1" applyAlignment="1">
      <alignment horizontal="right"/>
    </xf>
    <xf numFmtId="164" fontId="4957" fillId="0" borderId="5293" xfId="0" applyNumberFormat="1" applyFont="1" applyBorder="1" applyAlignment="1">
      <alignment horizontal="right"/>
    </xf>
    <xf numFmtId="164" fontId="4994" fillId="0" borderId="5330" xfId="0" applyNumberFormat="1" applyFont="1" applyBorder="1" applyAlignment="1">
      <alignment horizontal="right"/>
    </xf>
    <xf numFmtId="164" fontId="4882" fillId="0" borderId="5218" xfId="0" applyNumberFormat="1" applyFont="1" applyBorder="1" applyAlignment="1">
      <alignment horizontal="right"/>
    </xf>
    <xf numFmtId="164" fontId="4921" fillId="0" borderId="5257" xfId="0" applyNumberFormat="1" applyFont="1" applyBorder="1" applyAlignment="1">
      <alignment horizontal="right"/>
    </xf>
    <xf numFmtId="164" fontId="4958" fillId="0" borderId="5294" xfId="0" applyNumberFormat="1" applyFont="1" applyBorder="1" applyAlignment="1">
      <alignment horizontal="right"/>
    </xf>
    <xf numFmtId="164" fontId="4995" fillId="0" borderId="5331" xfId="0" applyNumberFormat="1" applyFont="1" applyBorder="1" applyAlignment="1">
      <alignment horizontal="right"/>
    </xf>
    <xf numFmtId="164" fontId="4883" fillId="0" borderId="5219" xfId="0" applyNumberFormat="1" applyFont="1" applyBorder="1" applyAlignment="1">
      <alignment horizontal="right"/>
    </xf>
    <xf numFmtId="164" fontId="4922" fillId="0" borderId="5258" xfId="0" applyNumberFormat="1" applyFont="1" applyBorder="1" applyAlignment="1">
      <alignment horizontal="right"/>
    </xf>
    <xf numFmtId="164" fontId="4959" fillId="0" borderId="5295" xfId="0" applyNumberFormat="1" applyFont="1" applyBorder="1" applyAlignment="1">
      <alignment horizontal="right"/>
    </xf>
    <xf numFmtId="164" fontId="4996" fillId="0" borderId="5332" xfId="0" applyNumberFormat="1" applyFont="1" applyBorder="1" applyAlignment="1">
      <alignment horizontal="right"/>
    </xf>
    <xf numFmtId="164" fontId="4884" fillId="0" borderId="5220" xfId="0" applyNumberFormat="1" applyFont="1" applyBorder="1" applyAlignment="1">
      <alignment horizontal="right"/>
    </xf>
    <xf numFmtId="164" fontId="4923" fillId="0" borderId="5259" xfId="0" applyNumberFormat="1" applyFont="1" applyBorder="1" applyAlignment="1">
      <alignment horizontal="right"/>
    </xf>
    <xf numFmtId="164" fontId="4960" fillId="0" borderId="5296" xfId="0" applyNumberFormat="1" applyFont="1" applyBorder="1" applyAlignment="1">
      <alignment horizontal="right"/>
    </xf>
    <xf numFmtId="164" fontId="4997" fillId="0" borderId="5333" xfId="0" applyNumberFormat="1" applyFont="1" applyBorder="1" applyAlignment="1">
      <alignment horizontal="right"/>
    </xf>
    <xf numFmtId="164" fontId="4885" fillId="0" borderId="5221" xfId="0" applyNumberFormat="1" applyFont="1" applyBorder="1" applyAlignment="1">
      <alignment horizontal="right"/>
    </xf>
    <xf numFmtId="164" fontId="4924" fillId="0" borderId="5260" xfId="0" applyNumberFormat="1" applyFont="1" applyBorder="1" applyAlignment="1">
      <alignment horizontal="right"/>
    </xf>
    <xf numFmtId="164" fontId="4961" fillId="0" borderId="5297" xfId="0" applyNumberFormat="1" applyFont="1" applyBorder="1" applyAlignment="1">
      <alignment horizontal="right"/>
    </xf>
    <xf numFmtId="164" fontId="4998" fillId="0" borderId="5334" xfId="0" applyNumberFormat="1" applyFont="1" applyBorder="1" applyAlignment="1">
      <alignment horizontal="right"/>
    </xf>
    <xf numFmtId="164" fontId="4886" fillId="0" borderId="5222" xfId="0" applyNumberFormat="1" applyFont="1" applyBorder="1" applyAlignment="1">
      <alignment horizontal="right"/>
    </xf>
    <xf numFmtId="164" fontId="4925" fillId="0" borderId="5261" xfId="0" applyNumberFormat="1" applyFont="1" applyBorder="1" applyAlignment="1">
      <alignment horizontal="right"/>
    </xf>
    <xf numFmtId="164" fontId="4962" fillId="0" borderId="5298" xfId="0" applyNumberFormat="1" applyFont="1" applyBorder="1" applyAlignment="1">
      <alignment horizontal="right"/>
    </xf>
    <xf numFmtId="164" fontId="4999" fillId="0" borderId="5335" xfId="0" applyNumberFormat="1" applyFont="1" applyBorder="1" applyAlignment="1">
      <alignment horizontal="right"/>
    </xf>
    <xf numFmtId="164" fontId="4887" fillId="0" borderId="5223" xfId="0" applyNumberFormat="1" applyFont="1" applyBorder="1" applyAlignment="1">
      <alignment horizontal="right"/>
    </xf>
    <xf numFmtId="164" fontId="4926" fillId="0" borderId="5262" xfId="0" applyNumberFormat="1" applyFont="1" applyBorder="1" applyAlignment="1">
      <alignment horizontal="right"/>
    </xf>
    <xf numFmtId="164" fontId="4963" fillId="0" borderId="5299" xfId="0" applyNumberFormat="1" applyFont="1" applyBorder="1" applyAlignment="1">
      <alignment horizontal="right"/>
    </xf>
    <xf numFmtId="164" fontId="5000" fillId="0" borderId="5336" xfId="0" applyNumberFormat="1" applyFont="1" applyBorder="1" applyAlignment="1">
      <alignment horizontal="right"/>
    </xf>
    <xf numFmtId="164" fontId="4888" fillId="0" borderId="5224" xfId="0" applyNumberFormat="1" applyFont="1" applyBorder="1" applyAlignment="1">
      <alignment horizontal="right"/>
    </xf>
    <xf numFmtId="164" fontId="4927" fillId="0" borderId="5263" xfId="0" applyNumberFormat="1" applyFont="1" applyBorder="1" applyAlignment="1">
      <alignment horizontal="right"/>
    </xf>
    <xf numFmtId="164" fontId="4964" fillId="0" borderId="5300" xfId="0" applyNumberFormat="1" applyFont="1" applyBorder="1" applyAlignment="1">
      <alignment horizontal="right"/>
    </xf>
    <xf numFmtId="164" fontId="5001" fillId="0" borderId="5337" xfId="0" applyNumberFormat="1" applyFont="1" applyBorder="1" applyAlignment="1">
      <alignment horizontal="right"/>
    </xf>
    <xf numFmtId="164" fontId="4889" fillId="0" borderId="5225" xfId="0" applyNumberFormat="1" applyFont="1" applyBorder="1" applyAlignment="1">
      <alignment horizontal="right"/>
    </xf>
    <xf numFmtId="164" fontId="4928" fillId="0" borderId="5264" xfId="0" applyNumberFormat="1" applyFont="1" applyBorder="1" applyAlignment="1">
      <alignment horizontal="right"/>
    </xf>
    <xf numFmtId="164" fontId="4965" fillId="0" borderId="5301" xfId="0" applyNumberFormat="1" applyFont="1" applyBorder="1" applyAlignment="1">
      <alignment horizontal="right"/>
    </xf>
    <xf numFmtId="164" fontId="5002" fillId="0" borderId="5338" xfId="0" applyNumberFormat="1" applyFont="1" applyBorder="1" applyAlignment="1">
      <alignment horizontal="right"/>
    </xf>
    <xf numFmtId="164" fontId="4890" fillId="0" borderId="5226" xfId="0" applyNumberFormat="1" applyFont="1" applyBorder="1" applyAlignment="1">
      <alignment horizontal="right"/>
    </xf>
    <xf numFmtId="164" fontId="4929" fillId="0" borderId="5265" xfId="0" applyNumberFormat="1" applyFont="1" applyBorder="1" applyAlignment="1">
      <alignment horizontal="right"/>
    </xf>
    <xf numFmtId="164" fontId="4966" fillId="0" borderId="5302" xfId="0" applyNumberFormat="1" applyFont="1" applyBorder="1" applyAlignment="1">
      <alignment horizontal="right"/>
    </xf>
    <xf numFmtId="164" fontId="5003" fillId="0" borderId="5339" xfId="0" applyNumberFormat="1" applyFont="1" applyBorder="1" applyAlignment="1">
      <alignment horizontal="right"/>
    </xf>
    <xf numFmtId="164" fontId="4891" fillId="0" borderId="5227" xfId="0" applyNumberFormat="1" applyFont="1" applyBorder="1" applyAlignment="1">
      <alignment horizontal="right"/>
    </xf>
    <xf numFmtId="164" fontId="4930" fillId="0" borderId="5266" xfId="0" applyNumberFormat="1" applyFont="1" applyBorder="1" applyAlignment="1">
      <alignment horizontal="right"/>
    </xf>
    <xf numFmtId="164" fontId="4967" fillId="0" borderId="5303" xfId="0" applyNumberFormat="1" applyFont="1" applyBorder="1" applyAlignment="1">
      <alignment horizontal="right"/>
    </xf>
    <xf numFmtId="164" fontId="5004" fillId="0" borderId="5340" xfId="0" applyNumberFormat="1" applyFont="1" applyBorder="1" applyAlignment="1">
      <alignment horizontal="right"/>
    </xf>
    <xf numFmtId="164" fontId="4892" fillId="0" borderId="5228" xfId="0" applyNumberFormat="1" applyFont="1" applyBorder="1" applyAlignment="1">
      <alignment horizontal="right"/>
    </xf>
    <xf numFmtId="164" fontId="4931" fillId="0" borderId="5267" xfId="0" applyNumberFormat="1" applyFont="1" applyBorder="1" applyAlignment="1">
      <alignment horizontal="right"/>
    </xf>
    <xf numFmtId="164" fontId="4968" fillId="0" borderId="5304" xfId="0" applyNumberFormat="1" applyFont="1" applyBorder="1" applyAlignment="1">
      <alignment horizontal="right"/>
    </xf>
    <xf numFmtId="164" fontId="5005" fillId="0" borderId="5341" xfId="0" applyNumberFormat="1" applyFont="1" applyBorder="1" applyAlignment="1">
      <alignment horizontal="right"/>
    </xf>
    <xf numFmtId="164" fontId="4873" fillId="0" borderId="5209" xfId="0" applyNumberFormat="1" applyFont="1" applyBorder="1" applyAlignment="1">
      <alignment horizontal="right"/>
    </xf>
    <xf numFmtId="164" fontId="4912" fillId="0" borderId="5248" xfId="0" applyNumberFormat="1" applyFont="1" applyBorder="1" applyAlignment="1">
      <alignment horizontal="right"/>
    </xf>
    <xf numFmtId="164" fontId="4951" fillId="0" borderId="5287" xfId="0" applyNumberFormat="1" applyFont="1" applyBorder="1" applyAlignment="1">
      <alignment horizontal="right"/>
    </xf>
    <xf numFmtId="164" fontId="4986" fillId="0" borderId="5322" xfId="0" applyNumberFormat="1" applyFont="1" applyBorder="1" applyAlignment="1">
      <alignment horizontal="right"/>
    </xf>
    <xf numFmtId="164" fontId="4898" fillId="0" borderId="5234" xfId="0" applyNumberFormat="1" applyFont="1" applyBorder="1" applyAlignment="1">
      <alignment horizontal="right"/>
    </xf>
    <xf numFmtId="164" fontId="4937" fillId="0" borderId="5273" xfId="0" applyNumberFormat="1" applyFont="1" applyBorder="1" applyAlignment="1">
      <alignment horizontal="right"/>
    </xf>
    <xf numFmtId="164" fontId="4972" fillId="0" borderId="5308" xfId="0" applyNumberFormat="1" applyFont="1" applyBorder="1" applyAlignment="1">
      <alignment horizontal="right"/>
    </xf>
    <xf numFmtId="164" fontId="5011" fillId="0" borderId="5347" xfId="0" applyNumberFormat="1" applyFont="1" applyBorder="1" applyAlignment="1">
      <alignment horizontal="right"/>
    </xf>
    <xf numFmtId="164" fontId="4899" fillId="0" borderId="5235" xfId="0" applyNumberFormat="1" applyFont="1" applyBorder="1" applyAlignment="1">
      <alignment horizontal="right"/>
    </xf>
    <xf numFmtId="164" fontId="4938" fillId="0" borderId="5274" xfId="0" applyNumberFormat="1" applyFont="1" applyBorder="1" applyAlignment="1">
      <alignment horizontal="right"/>
    </xf>
    <xf numFmtId="164" fontId="4973" fillId="0" borderId="5309" xfId="0" applyNumberFormat="1" applyFont="1" applyBorder="1" applyAlignment="1">
      <alignment horizontal="right"/>
    </xf>
    <xf numFmtId="164" fontId="5012" fillId="0" borderId="5348" xfId="0" applyNumberFormat="1" applyFont="1" applyBorder="1" applyAlignment="1">
      <alignment horizontal="right"/>
    </xf>
    <xf numFmtId="164" fontId="4900" fillId="0" borderId="5236" xfId="0" applyNumberFormat="1" applyFont="1" applyBorder="1" applyAlignment="1">
      <alignment horizontal="right"/>
    </xf>
    <xf numFmtId="164" fontId="4939" fillId="0" borderId="5275" xfId="0" applyNumberFormat="1" applyFont="1" applyBorder="1" applyAlignment="1">
      <alignment horizontal="right"/>
    </xf>
    <xf numFmtId="164" fontId="4974" fillId="0" borderId="5310" xfId="0" applyNumberFormat="1" applyFont="1" applyBorder="1" applyAlignment="1">
      <alignment horizontal="right"/>
    </xf>
    <xf numFmtId="164" fontId="5013" fillId="0" borderId="5349" xfId="0" applyNumberFormat="1" applyFont="1" applyBorder="1" applyAlignment="1">
      <alignment horizontal="right"/>
    </xf>
    <xf numFmtId="164" fontId="4901" fillId="0" borderId="5237" xfId="0" applyNumberFormat="1" applyFont="1" applyBorder="1" applyAlignment="1">
      <alignment horizontal="right"/>
    </xf>
    <xf numFmtId="164" fontId="4940" fillId="0" borderId="5276" xfId="0" applyNumberFormat="1" applyFont="1" applyBorder="1" applyAlignment="1">
      <alignment horizontal="right"/>
    </xf>
    <xf numFmtId="164" fontId="4975" fillId="0" borderId="5311" xfId="0" applyNumberFormat="1" applyFont="1" applyBorder="1" applyAlignment="1">
      <alignment horizontal="right"/>
    </xf>
    <xf numFmtId="164" fontId="5014" fillId="0" borderId="5350" xfId="0" applyNumberFormat="1" applyFont="1" applyBorder="1" applyAlignment="1">
      <alignment horizontal="right"/>
    </xf>
    <xf numFmtId="164" fontId="4902" fillId="0" borderId="5238" xfId="0" applyNumberFormat="1" applyFont="1" applyBorder="1" applyAlignment="1">
      <alignment horizontal="right"/>
    </xf>
    <xf numFmtId="164" fontId="4941" fillId="0" borderId="5277" xfId="0" applyNumberFormat="1" applyFont="1" applyBorder="1" applyAlignment="1">
      <alignment horizontal="right"/>
    </xf>
    <xf numFmtId="164" fontId="4976" fillId="0" borderId="5312" xfId="0" applyNumberFormat="1" applyFont="1" applyBorder="1" applyAlignment="1">
      <alignment horizontal="right"/>
    </xf>
    <xf numFmtId="164" fontId="5015" fillId="0" borderId="5351" xfId="0" applyNumberFormat="1" applyFont="1" applyBorder="1" applyAlignment="1">
      <alignment horizontal="right"/>
    </xf>
    <xf numFmtId="164" fontId="4903" fillId="0" borderId="5239" xfId="0" applyNumberFormat="1" applyFont="1" applyBorder="1" applyAlignment="1">
      <alignment horizontal="right"/>
    </xf>
    <xf numFmtId="164" fontId="4942" fillId="0" borderId="5278" xfId="0" applyNumberFormat="1" applyFont="1" applyBorder="1" applyAlignment="1">
      <alignment horizontal="right"/>
    </xf>
    <xf numFmtId="164" fontId="4977" fillId="0" borderId="5313" xfId="0" applyNumberFormat="1" applyFont="1" applyBorder="1" applyAlignment="1">
      <alignment horizontal="right"/>
    </xf>
    <xf numFmtId="164" fontId="5016" fillId="0" borderId="5352" xfId="0" applyNumberFormat="1" applyFont="1" applyBorder="1" applyAlignment="1">
      <alignment horizontal="right"/>
    </xf>
    <xf numFmtId="164" fontId="4904" fillId="0" borderId="5240" xfId="0" applyNumberFormat="1" applyFont="1" applyBorder="1" applyAlignment="1">
      <alignment horizontal="right"/>
    </xf>
    <xf numFmtId="164" fontId="4943" fillId="0" borderId="5279" xfId="0" applyNumberFormat="1" applyFont="1" applyBorder="1" applyAlignment="1">
      <alignment horizontal="right"/>
    </xf>
    <xf numFmtId="164" fontId="4978" fillId="0" borderId="5314" xfId="0" applyNumberFormat="1" applyFont="1" applyBorder="1" applyAlignment="1">
      <alignment horizontal="right"/>
    </xf>
    <xf numFmtId="164" fontId="5017" fillId="0" borderId="5353" xfId="0" applyNumberFormat="1" applyFont="1" applyBorder="1" applyAlignment="1">
      <alignment horizontal="right"/>
    </xf>
    <xf numFmtId="164" fontId="4905" fillId="0" borderId="5241" xfId="0" applyNumberFormat="1" applyFont="1" applyBorder="1" applyAlignment="1">
      <alignment horizontal="right"/>
    </xf>
    <xf numFmtId="164" fontId="4944" fillId="0" borderId="5280" xfId="0" applyNumberFormat="1" applyFont="1" applyBorder="1" applyAlignment="1">
      <alignment horizontal="right"/>
    </xf>
    <xf numFmtId="164" fontId="4979" fillId="0" borderId="5315" xfId="0" applyNumberFormat="1" applyFont="1" applyBorder="1" applyAlignment="1">
      <alignment horizontal="right"/>
    </xf>
    <xf numFmtId="164" fontId="5018" fillId="0" borderId="5354" xfId="0" applyNumberFormat="1" applyFont="1" applyBorder="1" applyAlignment="1">
      <alignment horizontal="right"/>
    </xf>
    <xf numFmtId="164" fontId="4906" fillId="0" borderId="5242" xfId="0" applyNumberFormat="1" applyFont="1" applyBorder="1" applyAlignment="1">
      <alignment horizontal="right"/>
    </xf>
    <xf numFmtId="164" fontId="4945" fillId="0" borderId="5281" xfId="0" applyNumberFormat="1" applyFont="1" applyBorder="1" applyAlignment="1">
      <alignment horizontal="right"/>
    </xf>
    <xf numFmtId="164" fontId="4980" fillId="0" borderId="5316" xfId="0" applyNumberFormat="1" applyFont="1" applyBorder="1" applyAlignment="1">
      <alignment horizontal="right"/>
    </xf>
    <xf numFmtId="164" fontId="5019" fillId="0" borderId="5355" xfId="0" applyNumberFormat="1" applyFont="1" applyBorder="1" applyAlignment="1">
      <alignment horizontal="right"/>
    </xf>
    <xf numFmtId="164" fontId="4907" fillId="0" borderId="5243" xfId="0" applyNumberFormat="1" applyFont="1" applyBorder="1" applyAlignment="1">
      <alignment horizontal="right"/>
    </xf>
    <xf numFmtId="164" fontId="4946" fillId="0" borderId="5282" xfId="0" applyNumberFormat="1" applyFont="1" applyBorder="1" applyAlignment="1">
      <alignment horizontal="right"/>
    </xf>
    <xf numFmtId="164" fontId="4981" fillId="0" borderId="5317" xfId="0" applyNumberFormat="1" applyFont="1" applyBorder="1" applyAlignment="1">
      <alignment horizontal="right"/>
    </xf>
    <xf numFmtId="164" fontId="5020" fillId="0" borderId="5356" xfId="0" applyNumberFormat="1" applyFont="1" applyBorder="1" applyAlignment="1">
      <alignment horizontal="right"/>
    </xf>
    <xf numFmtId="164" fontId="4908" fillId="0" borderId="5244" xfId="0" applyNumberFormat="1" applyFont="1" applyBorder="1" applyAlignment="1">
      <alignment horizontal="right"/>
    </xf>
    <xf numFmtId="164" fontId="4947" fillId="0" borderId="5283" xfId="0" applyNumberFormat="1" applyFont="1" applyBorder="1" applyAlignment="1">
      <alignment horizontal="right"/>
    </xf>
    <xf numFmtId="164" fontId="4982" fillId="0" borderId="5318" xfId="0" applyNumberFormat="1" applyFont="1" applyBorder="1" applyAlignment="1">
      <alignment horizontal="right"/>
    </xf>
    <xf numFmtId="164" fontId="5021" fillId="0" borderId="5357" xfId="0" applyNumberFormat="1" applyFont="1" applyBorder="1" applyAlignment="1">
      <alignment horizontal="right"/>
    </xf>
    <xf numFmtId="164" fontId="4909" fillId="0" borderId="5245" xfId="0" applyNumberFormat="1" applyFont="1" applyBorder="1" applyAlignment="1">
      <alignment horizontal="right"/>
    </xf>
    <xf numFmtId="164" fontId="4948" fillId="0" borderId="5284" xfId="0" applyNumberFormat="1" applyFont="1" applyBorder="1" applyAlignment="1">
      <alignment horizontal="right"/>
    </xf>
    <xf numFmtId="164" fontId="4983" fillId="0" borderId="5319" xfId="0" applyNumberFormat="1" applyFont="1" applyBorder="1" applyAlignment="1">
      <alignment horizontal="right"/>
    </xf>
    <xf numFmtId="164" fontId="5022" fillId="0" borderId="5358" xfId="0" applyNumberFormat="1" applyFont="1" applyBorder="1" applyAlignment="1">
      <alignment horizontal="right"/>
    </xf>
    <xf numFmtId="164" fontId="4910" fillId="0" borderId="5246" xfId="0" applyNumberFormat="1" applyFont="1" applyBorder="1" applyAlignment="1">
      <alignment horizontal="right"/>
    </xf>
    <xf numFmtId="164" fontId="4949" fillId="0" borderId="5285" xfId="0" applyNumberFormat="1" applyFont="1" applyBorder="1" applyAlignment="1">
      <alignment horizontal="right"/>
    </xf>
    <xf numFmtId="164" fontId="4984" fillId="0" borderId="5320" xfId="0" applyNumberFormat="1" applyFont="1" applyBorder="1" applyAlignment="1">
      <alignment horizontal="right"/>
    </xf>
    <xf numFmtId="164" fontId="5023" fillId="0" borderId="5359" xfId="0" applyNumberFormat="1" applyFont="1" applyBorder="1" applyAlignment="1">
      <alignment horizontal="right"/>
    </xf>
    <xf numFmtId="164" fontId="4911" fillId="0" borderId="5247" xfId="0" applyNumberFormat="1" applyFont="1" applyBorder="1" applyAlignment="1">
      <alignment horizontal="right"/>
    </xf>
    <xf numFmtId="164" fontId="4950" fillId="0" borderId="5286" xfId="0" applyNumberFormat="1" applyFont="1" applyBorder="1" applyAlignment="1">
      <alignment horizontal="right"/>
    </xf>
    <xf numFmtId="164" fontId="4985" fillId="0" borderId="5321" xfId="0" applyNumberFormat="1" applyFont="1" applyBorder="1" applyAlignment="1">
      <alignment horizontal="right"/>
    </xf>
    <xf numFmtId="164" fontId="5024" fillId="0" borderId="5360" xfId="0" applyNumberFormat="1" applyFont="1" applyBorder="1" applyAlignment="1">
      <alignment horizontal="right"/>
    </xf>
    <xf numFmtId="164" fontId="4874" fillId="0" borderId="5210" xfId="0" applyNumberFormat="1" applyFont="1" applyBorder="1" applyAlignment="1">
      <alignment horizontal="right"/>
    </xf>
    <xf numFmtId="164" fontId="4913" fillId="0" borderId="5249" xfId="0" applyNumberFormat="1" applyFont="1" applyBorder="1" applyAlignment="1">
      <alignment horizontal="right"/>
    </xf>
    <xf numFmtId="164" fontId="4952" fillId="0" borderId="5288" xfId="0" applyNumberFormat="1" applyFont="1" applyBorder="1" applyAlignment="1">
      <alignment horizontal="right"/>
    </xf>
    <xf numFmtId="164" fontId="4987" fillId="0" borderId="5323" xfId="0" applyNumberFormat="1" applyFont="1" applyBorder="1" applyAlignment="1">
      <alignment horizontal="right"/>
    </xf>
    <xf numFmtId="164" fontId="1661" fillId="0" borderId="1801" xfId="0" applyNumberFormat="1" applyFont="1" applyBorder="1" applyAlignment="1">
      <alignment horizontal="right"/>
    </xf>
    <xf numFmtId="164" fontId="1746" fillId="0" borderId="1893" xfId="0" applyNumberFormat="1" applyFont="1" applyBorder="1" applyAlignment="1">
      <alignment horizontal="right"/>
    </xf>
    <xf numFmtId="164" fontId="1829" fillId="0" borderId="1983" xfId="0" applyNumberFormat="1" applyFont="1" applyBorder="1" applyAlignment="1">
      <alignment horizontal="right"/>
    </xf>
    <xf numFmtId="164" fontId="1906" fillId="0" borderId="2067" xfId="0" applyNumberFormat="1" applyFont="1" applyBorder="1" applyAlignment="1">
      <alignment horizontal="right"/>
    </xf>
    <xf numFmtId="164" fontId="1662" fillId="0" borderId="1802" xfId="0" applyNumberFormat="1" applyFont="1" applyBorder="1" applyAlignment="1">
      <alignment horizontal="right"/>
    </xf>
    <xf numFmtId="164" fontId="1747" fillId="0" borderId="1894" xfId="0" applyNumberFormat="1" applyFont="1" applyBorder="1" applyAlignment="1">
      <alignment horizontal="right"/>
    </xf>
    <xf numFmtId="164" fontId="1830" fillId="0" borderId="1984" xfId="0" applyNumberFormat="1" applyFont="1" applyBorder="1" applyAlignment="1">
      <alignment horizontal="right"/>
    </xf>
    <xf numFmtId="164" fontId="1907" fillId="0" borderId="2068" xfId="0" applyNumberFormat="1" applyFont="1" applyBorder="1" applyAlignment="1">
      <alignment horizontal="right"/>
    </xf>
    <xf numFmtId="164" fontId="1663" fillId="0" borderId="1803" xfId="0" applyNumberFormat="1" applyFont="1" applyBorder="1" applyAlignment="1">
      <alignment horizontal="right"/>
    </xf>
    <xf numFmtId="164" fontId="1748" fillId="0" borderId="1895" xfId="0" applyNumberFormat="1" applyFont="1" applyBorder="1" applyAlignment="1">
      <alignment horizontal="right"/>
    </xf>
    <xf numFmtId="164" fontId="1831" fillId="0" borderId="1985" xfId="0" applyNumberFormat="1" applyFont="1" applyBorder="1" applyAlignment="1">
      <alignment horizontal="right"/>
    </xf>
    <xf numFmtId="164" fontId="1908" fillId="0" borderId="2069" xfId="0" applyNumberFormat="1" applyFont="1" applyBorder="1" applyAlignment="1">
      <alignment horizontal="right"/>
    </xf>
    <xf numFmtId="164" fontId="1664" fillId="0" borderId="1804" xfId="0" applyNumberFormat="1" applyFont="1" applyBorder="1" applyAlignment="1">
      <alignment horizontal="right"/>
    </xf>
    <xf numFmtId="164" fontId="1749" fillId="0" borderId="1896" xfId="0" applyNumberFormat="1" applyFont="1" applyBorder="1" applyAlignment="1">
      <alignment horizontal="right"/>
    </xf>
    <xf numFmtId="164" fontId="1832" fillId="0" borderId="1986" xfId="0" applyNumberFormat="1" applyFont="1" applyBorder="1" applyAlignment="1">
      <alignment horizontal="right"/>
    </xf>
    <xf numFmtId="164" fontId="1909" fillId="0" borderId="2070" xfId="0" applyNumberFormat="1" applyFont="1" applyBorder="1" applyAlignment="1">
      <alignment horizontal="right"/>
    </xf>
    <xf numFmtId="164" fontId="1665" fillId="0" borderId="1805" xfId="0" applyNumberFormat="1" applyFont="1" applyBorder="1" applyAlignment="1">
      <alignment horizontal="right"/>
    </xf>
    <xf numFmtId="164" fontId="1750" fillId="0" borderId="1897" xfId="0" applyNumberFormat="1" applyFont="1" applyBorder="1" applyAlignment="1">
      <alignment horizontal="right"/>
    </xf>
    <xf numFmtId="164" fontId="1833" fillId="0" borderId="1987" xfId="0" applyNumberFormat="1" applyFont="1" applyBorder="1" applyAlignment="1">
      <alignment horizontal="right"/>
    </xf>
    <xf numFmtId="164" fontId="1910" fillId="0" borderId="2071" xfId="0" applyNumberFormat="1" applyFont="1" applyBorder="1" applyAlignment="1">
      <alignment horizontal="right"/>
    </xf>
    <xf numFmtId="164" fontId="1666" fillId="0" borderId="1806" xfId="0" applyNumberFormat="1" applyFont="1" applyBorder="1" applyAlignment="1">
      <alignment horizontal="right"/>
    </xf>
    <xf numFmtId="164" fontId="1751" fillId="0" borderId="1898" xfId="0" applyNumberFormat="1" applyFont="1" applyBorder="1" applyAlignment="1">
      <alignment horizontal="right"/>
    </xf>
    <xf numFmtId="164" fontId="1834" fillId="0" borderId="1988" xfId="0" applyNumberFormat="1" applyFont="1" applyBorder="1" applyAlignment="1">
      <alignment horizontal="right"/>
    </xf>
    <xf numFmtId="164" fontId="1911" fillId="0" borderId="2072" xfId="0" applyNumberFormat="1" applyFont="1" applyBorder="1" applyAlignment="1">
      <alignment horizontal="right"/>
    </xf>
    <xf numFmtId="164" fontId="1667" fillId="0" borderId="1807" xfId="0" applyNumberFormat="1" applyFont="1" applyBorder="1" applyAlignment="1">
      <alignment horizontal="right"/>
    </xf>
    <xf numFmtId="164" fontId="1752" fillId="0" borderId="1899" xfId="0" applyNumberFormat="1" applyFont="1" applyBorder="1" applyAlignment="1">
      <alignment horizontal="right"/>
    </xf>
    <xf numFmtId="164" fontId="1835" fillId="0" borderId="1989" xfId="0" applyNumberFormat="1" applyFont="1" applyBorder="1" applyAlignment="1">
      <alignment horizontal="right"/>
    </xf>
    <xf numFmtId="164" fontId="1912" fillId="0" borderId="2073" xfId="0" applyNumberFormat="1" applyFont="1" applyBorder="1" applyAlignment="1">
      <alignment horizontal="right"/>
    </xf>
    <xf numFmtId="164" fontId="1668" fillId="0" borderId="1808" xfId="0" applyNumberFormat="1" applyFont="1" applyBorder="1" applyAlignment="1">
      <alignment horizontal="right"/>
    </xf>
    <xf numFmtId="164" fontId="1753" fillId="0" borderId="1900" xfId="0" applyNumberFormat="1" applyFont="1" applyBorder="1" applyAlignment="1">
      <alignment horizontal="right"/>
    </xf>
    <xf numFmtId="164" fontId="1836" fillId="0" borderId="1990" xfId="0" applyNumberFormat="1" applyFont="1" applyBorder="1" applyAlignment="1">
      <alignment horizontal="right"/>
    </xf>
    <xf numFmtId="164" fontId="1913" fillId="0" borderId="2074" xfId="0" applyNumberFormat="1" applyFont="1" applyBorder="1" applyAlignment="1">
      <alignment horizontal="right"/>
    </xf>
    <xf numFmtId="164" fontId="1669" fillId="0" borderId="1809" xfId="0" applyNumberFormat="1" applyFont="1" applyBorder="1" applyAlignment="1">
      <alignment horizontal="right"/>
    </xf>
    <xf numFmtId="164" fontId="1754" fillId="0" borderId="1901" xfId="0" applyNumberFormat="1" applyFont="1" applyBorder="1" applyAlignment="1">
      <alignment horizontal="right"/>
    </xf>
    <xf numFmtId="164" fontId="1837" fillId="0" borderId="1991" xfId="0" applyNumberFormat="1" applyFont="1" applyBorder="1" applyAlignment="1">
      <alignment horizontal="right"/>
    </xf>
    <xf numFmtId="164" fontId="1914" fillId="0" borderId="2075" xfId="0" applyNumberFormat="1" applyFont="1" applyBorder="1" applyAlignment="1">
      <alignment horizontal="right"/>
    </xf>
    <xf numFmtId="164" fontId="1670" fillId="0" borderId="1810" xfId="0" applyNumberFormat="1" applyFont="1" applyBorder="1" applyAlignment="1">
      <alignment horizontal="right"/>
    </xf>
    <xf numFmtId="164" fontId="1755" fillId="0" borderId="1902" xfId="0" applyNumberFormat="1" applyFont="1" applyBorder="1" applyAlignment="1">
      <alignment horizontal="right"/>
    </xf>
    <xf numFmtId="164" fontId="1838" fillId="0" borderId="1992" xfId="0" applyNumberFormat="1" applyFont="1" applyBorder="1" applyAlignment="1">
      <alignment horizontal="right"/>
    </xf>
    <xf numFmtId="164" fontId="1915" fillId="0" borderId="2076" xfId="0" applyNumberFormat="1" applyFont="1" applyBorder="1" applyAlignment="1">
      <alignment horizontal="right"/>
    </xf>
    <xf numFmtId="164" fontId="1671" fillId="0" borderId="1811" xfId="0" applyNumberFormat="1" applyFont="1" applyBorder="1" applyAlignment="1">
      <alignment horizontal="right"/>
    </xf>
    <xf numFmtId="164" fontId="1756" fillId="0" borderId="1903" xfId="0" applyNumberFormat="1" applyFont="1" applyBorder="1" applyAlignment="1">
      <alignment horizontal="right"/>
    </xf>
    <xf numFmtId="164" fontId="1839" fillId="0" borderId="1993" xfId="0" applyNumberFormat="1" applyFont="1" applyBorder="1" applyAlignment="1">
      <alignment horizontal="right"/>
    </xf>
    <xf numFmtId="164" fontId="1916" fillId="0" borderId="2077" xfId="0" applyNumberFormat="1" applyFont="1" applyBorder="1" applyAlignment="1">
      <alignment horizontal="right"/>
    </xf>
    <xf numFmtId="164" fontId="1672" fillId="0" borderId="1812" xfId="0" applyNumberFormat="1" applyFont="1" applyBorder="1" applyAlignment="1">
      <alignment horizontal="right"/>
    </xf>
    <xf numFmtId="164" fontId="1757" fillId="0" borderId="1904" xfId="0" applyNumberFormat="1" applyFont="1" applyBorder="1" applyAlignment="1">
      <alignment horizontal="right"/>
    </xf>
    <xf numFmtId="164" fontId="1840" fillId="0" borderId="1994" xfId="0" applyNumberFormat="1" applyFont="1" applyBorder="1" applyAlignment="1">
      <alignment horizontal="right"/>
    </xf>
    <xf numFmtId="164" fontId="1917" fillId="0" borderId="2078" xfId="0" applyNumberFormat="1" applyFont="1" applyBorder="1" applyAlignment="1">
      <alignment horizontal="right"/>
    </xf>
    <xf numFmtId="164" fontId="1673" fillId="0" borderId="1813" xfId="0" applyNumberFormat="1" applyFont="1" applyBorder="1" applyAlignment="1">
      <alignment horizontal="right"/>
    </xf>
    <xf numFmtId="164" fontId="1758" fillId="0" borderId="1905" xfId="0" applyNumberFormat="1" applyFont="1" applyBorder="1" applyAlignment="1">
      <alignment horizontal="right"/>
    </xf>
    <xf numFmtId="164" fontId="1841" fillId="0" borderId="1995" xfId="0" applyNumberFormat="1" applyFont="1" applyBorder="1" applyAlignment="1">
      <alignment horizontal="right"/>
    </xf>
    <xf numFmtId="164" fontId="1918" fillId="0" borderId="2079" xfId="0" applyNumberFormat="1" applyFont="1" applyBorder="1" applyAlignment="1">
      <alignment horizontal="right"/>
    </xf>
    <xf numFmtId="164" fontId="1674" fillId="0" borderId="1814" xfId="0" applyNumberFormat="1" applyFont="1" applyBorder="1" applyAlignment="1">
      <alignment horizontal="right"/>
    </xf>
    <xf numFmtId="164" fontId="1759" fillId="0" borderId="1906" xfId="0" applyNumberFormat="1" applyFont="1" applyBorder="1" applyAlignment="1">
      <alignment horizontal="right"/>
    </xf>
    <xf numFmtId="164" fontId="1842" fillId="0" borderId="1996" xfId="0" applyNumberFormat="1" applyFont="1" applyBorder="1" applyAlignment="1">
      <alignment horizontal="right"/>
    </xf>
    <xf numFmtId="164" fontId="1919" fillId="0" borderId="2080" xfId="0" applyNumberFormat="1" applyFont="1" applyBorder="1" applyAlignment="1">
      <alignment horizontal="right"/>
    </xf>
    <xf numFmtId="164" fontId="1675" fillId="0" borderId="1815" xfId="0" applyNumberFormat="1" applyFont="1" applyBorder="1" applyAlignment="1">
      <alignment horizontal="right"/>
    </xf>
    <xf numFmtId="164" fontId="1760" fillId="0" borderId="1907" xfId="0" applyNumberFormat="1" applyFont="1" applyBorder="1" applyAlignment="1">
      <alignment horizontal="right"/>
    </xf>
    <xf numFmtId="164" fontId="1843" fillId="0" borderId="1997" xfId="0" applyNumberFormat="1" applyFont="1" applyBorder="1" applyAlignment="1">
      <alignment horizontal="right"/>
    </xf>
    <xf numFmtId="164" fontId="1920" fillId="0" borderId="2081" xfId="0" applyNumberFormat="1" applyFont="1" applyBorder="1" applyAlignment="1">
      <alignment horizontal="right"/>
    </xf>
    <xf numFmtId="164" fontId="1651" fillId="0" borderId="1791" xfId="0" applyNumberFormat="1" applyFont="1" applyBorder="1" applyAlignment="1">
      <alignment horizontal="right"/>
    </xf>
    <xf numFmtId="164" fontId="1736" fillId="0" borderId="1883" xfId="0" applyNumberFormat="1" applyFont="1" applyBorder="1" applyAlignment="1">
      <alignment horizontal="right"/>
    </xf>
    <xf numFmtId="164" fontId="1821" fillId="0" borderId="1975" xfId="0" applyNumberFormat="1" applyFont="1" applyBorder="1" applyAlignment="1">
      <alignment horizontal="right"/>
    </xf>
    <xf numFmtId="164" fontId="1896" fillId="0" borderId="2057" xfId="0" applyNumberFormat="1" applyFont="1" applyBorder="1" applyAlignment="1">
      <alignment horizontal="right"/>
    </xf>
    <xf numFmtId="164" fontId="1681" fillId="0" borderId="1821" xfId="0" applyNumberFormat="1" applyFont="1" applyBorder="1" applyAlignment="1">
      <alignment horizontal="right"/>
    </xf>
    <xf numFmtId="164" fontId="1766" fillId="0" borderId="1913" xfId="0" applyNumberFormat="1" applyFont="1" applyBorder="1" applyAlignment="1">
      <alignment horizontal="right"/>
    </xf>
    <xf numFmtId="164" fontId="1847" fillId="0" borderId="2001" xfId="0" applyNumberFormat="1" applyFont="1" applyBorder="1" applyAlignment="1">
      <alignment horizontal="right"/>
    </xf>
    <xf numFmtId="164" fontId="1926" fillId="0" borderId="2087" xfId="0" applyNumberFormat="1" applyFont="1" applyBorder="1" applyAlignment="1">
      <alignment horizontal="right"/>
    </xf>
    <xf numFmtId="164" fontId="1682" fillId="0" borderId="1822" xfId="0" applyNumberFormat="1" applyFont="1" applyBorder="1" applyAlignment="1">
      <alignment horizontal="right"/>
    </xf>
    <xf numFmtId="164" fontId="1767" fillId="0" borderId="1914" xfId="0" applyNumberFormat="1" applyFont="1" applyBorder="1" applyAlignment="1">
      <alignment horizontal="right"/>
    </xf>
    <xf numFmtId="164" fontId="1848" fillId="0" borderId="2002" xfId="0" applyNumberFormat="1" applyFont="1" applyBorder="1" applyAlignment="1">
      <alignment horizontal="right"/>
    </xf>
    <xf numFmtId="164" fontId="1927" fillId="0" borderId="2088" xfId="0" applyNumberFormat="1" applyFont="1" applyBorder="1" applyAlignment="1">
      <alignment horizontal="right"/>
    </xf>
    <xf numFmtId="164" fontId="1683" fillId="0" borderId="1823" xfId="0" applyNumberFormat="1" applyFont="1" applyBorder="1" applyAlignment="1">
      <alignment horizontal="right"/>
    </xf>
    <xf numFmtId="164" fontId="1768" fillId="0" borderId="1915" xfId="0" applyNumberFormat="1" applyFont="1" applyBorder="1" applyAlignment="1">
      <alignment horizontal="right"/>
    </xf>
    <xf numFmtId="164" fontId="1849" fillId="0" borderId="2003" xfId="0" applyNumberFormat="1" applyFont="1" applyBorder="1" applyAlignment="1">
      <alignment horizontal="right"/>
    </xf>
    <xf numFmtId="164" fontId="1928" fillId="0" borderId="2089" xfId="0" applyNumberFormat="1" applyFont="1" applyBorder="1" applyAlignment="1">
      <alignment horizontal="right"/>
    </xf>
    <xf numFmtId="164" fontId="1684" fillId="0" borderId="1824" xfId="0" applyNumberFormat="1" applyFont="1" applyBorder="1" applyAlignment="1">
      <alignment horizontal="right"/>
    </xf>
    <xf numFmtId="164" fontId="1769" fillId="0" borderId="1916" xfId="0" applyNumberFormat="1" applyFont="1" applyBorder="1" applyAlignment="1">
      <alignment horizontal="right"/>
    </xf>
    <xf numFmtId="164" fontId="1850" fillId="0" borderId="2004" xfId="0" applyNumberFormat="1" applyFont="1" applyBorder="1" applyAlignment="1">
      <alignment horizontal="right"/>
    </xf>
    <xf numFmtId="164" fontId="1929" fillId="0" borderId="2090" xfId="0" applyNumberFormat="1" applyFont="1" applyBorder="1" applyAlignment="1">
      <alignment horizontal="right"/>
    </xf>
    <xf numFmtId="164" fontId="1685" fillId="0" borderId="1825" xfId="0" applyNumberFormat="1" applyFont="1" applyBorder="1" applyAlignment="1">
      <alignment horizontal="right"/>
    </xf>
    <xf numFmtId="164" fontId="1770" fillId="0" borderId="1917" xfId="0" applyNumberFormat="1" applyFont="1" applyBorder="1" applyAlignment="1">
      <alignment horizontal="right"/>
    </xf>
    <xf numFmtId="164" fontId="1851" fillId="0" borderId="2005" xfId="0" applyNumberFormat="1" applyFont="1" applyBorder="1" applyAlignment="1">
      <alignment horizontal="right"/>
    </xf>
    <xf numFmtId="164" fontId="1930" fillId="0" borderId="2091" xfId="0" applyNumberFormat="1" applyFont="1" applyBorder="1" applyAlignment="1">
      <alignment horizontal="right"/>
    </xf>
    <xf numFmtId="164" fontId="1686" fillId="0" borderId="1826" xfId="0" applyNumberFormat="1" applyFont="1" applyBorder="1" applyAlignment="1">
      <alignment horizontal="right"/>
    </xf>
    <xf numFmtId="164" fontId="1771" fillId="0" borderId="1918" xfId="0" applyNumberFormat="1" applyFont="1" applyBorder="1" applyAlignment="1">
      <alignment horizontal="right"/>
    </xf>
    <xf numFmtId="164" fontId="1852" fillId="0" borderId="2006" xfId="0" applyNumberFormat="1" applyFont="1" applyBorder="1" applyAlignment="1">
      <alignment horizontal="right"/>
    </xf>
    <xf numFmtId="164" fontId="1931" fillId="0" borderId="2092" xfId="0" applyNumberFormat="1" applyFont="1" applyBorder="1" applyAlignment="1">
      <alignment horizontal="right"/>
    </xf>
    <xf numFmtId="164" fontId="1687" fillId="0" borderId="1827" xfId="0" applyNumberFormat="1" applyFont="1" applyBorder="1" applyAlignment="1">
      <alignment horizontal="right"/>
    </xf>
    <xf numFmtId="164" fontId="1772" fillId="0" borderId="1919" xfId="0" applyNumberFormat="1" applyFont="1" applyBorder="1" applyAlignment="1">
      <alignment horizontal="right"/>
    </xf>
    <xf numFmtId="164" fontId="1853" fillId="0" borderId="2007" xfId="0" applyNumberFormat="1" applyFont="1" applyBorder="1" applyAlignment="1">
      <alignment horizontal="right"/>
    </xf>
    <xf numFmtId="164" fontId="1932" fillId="0" borderId="2093" xfId="0" applyNumberFormat="1" applyFont="1" applyBorder="1" applyAlignment="1">
      <alignment horizontal="right"/>
    </xf>
    <xf numFmtId="164" fontId="1688" fillId="0" borderId="1828" xfId="0" applyNumberFormat="1" applyFont="1" applyBorder="1" applyAlignment="1">
      <alignment horizontal="right"/>
    </xf>
    <xf numFmtId="164" fontId="1773" fillId="0" borderId="1920" xfId="0" applyNumberFormat="1" applyFont="1" applyBorder="1" applyAlignment="1">
      <alignment horizontal="right"/>
    </xf>
    <xf numFmtId="164" fontId="1854" fillId="0" borderId="2008" xfId="0" applyNumberFormat="1" applyFont="1" applyBorder="1" applyAlignment="1">
      <alignment horizontal="right"/>
    </xf>
    <xf numFmtId="164" fontId="1933" fillId="0" borderId="2094" xfId="0" applyNumberFormat="1" applyFont="1" applyBorder="1" applyAlignment="1">
      <alignment horizontal="right"/>
    </xf>
    <xf numFmtId="164" fontId="1689" fillId="0" borderId="1829" xfId="0" applyNumberFormat="1" applyFont="1" applyBorder="1" applyAlignment="1">
      <alignment horizontal="right"/>
    </xf>
    <xf numFmtId="164" fontId="1774" fillId="0" borderId="1921" xfId="0" applyNumberFormat="1" applyFont="1" applyBorder="1" applyAlignment="1">
      <alignment horizontal="right"/>
    </xf>
    <xf numFmtId="164" fontId="1855" fillId="0" borderId="2009" xfId="0" applyNumberFormat="1" applyFont="1" applyBorder="1" applyAlignment="1">
      <alignment horizontal="right"/>
    </xf>
    <xf numFmtId="164" fontId="1934" fillId="0" borderId="2095" xfId="0" applyNumberFormat="1" applyFont="1" applyBorder="1" applyAlignment="1">
      <alignment horizontal="right"/>
    </xf>
    <xf numFmtId="164" fontId="1690" fillId="0" borderId="1830" xfId="0" applyNumberFormat="1" applyFont="1" applyBorder="1" applyAlignment="1">
      <alignment horizontal="right"/>
    </xf>
    <xf numFmtId="164" fontId="1775" fillId="0" borderId="1922" xfId="0" applyNumberFormat="1" applyFont="1" applyBorder="1" applyAlignment="1">
      <alignment horizontal="right"/>
    </xf>
    <xf numFmtId="164" fontId="1856" fillId="0" borderId="2010" xfId="0" applyNumberFormat="1" applyFont="1" applyBorder="1" applyAlignment="1">
      <alignment horizontal="right"/>
    </xf>
    <xf numFmtId="164" fontId="1935" fillId="0" borderId="2096" xfId="0" applyNumberFormat="1" applyFont="1" applyBorder="1" applyAlignment="1">
      <alignment horizontal="right"/>
    </xf>
    <xf numFmtId="164" fontId="1691" fillId="0" borderId="1831" xfId="0" applyNumberFormat="1" applyFont="1" applyBorder="1" applyAlignment="1">
      <alignment horizontal="right"/>
    </xf>
    <xf numFmtId="164" fontId="1776" fillId="0" borderId="1923" xfId="0" applyNumberFormat="1" applyFont="1" applyBorder="1" applyAlignment="1">
      <alignment horizontal="right"/>
    </xf>
    <xf numFmtId="164" fontId="1857" fillId="0" borderId="2011" xfId="0" applyNumberFormat="1" applyFont="1" applyBorder="1" applyAlignment="1">
      <alignment horizontal="right"/>
    </xf>
    <xf numFmtId="164" fontId="1936" fillId="0" borderId="2097" xfId="0" applyNumberFormat="1" applyFont="1" applyBorder="1" applyAlignment="1">
      <alignment horizontal="right"/>
    </xf>
    <xf numFmtId="164" fontId="1692" fillId="0" borderId="1832" xfId="0" applyNumberFormat="1" applyFont="1" applyBorder="1" applyAlignment="1">
      <alignment horizontal="right"/>
    </xf>
    <xf numFmtId="164" fontId="1777" fillId="0" borderId="1924" xfId="0" applyNumberFormat="1" applyFont="1" applyBorder="1" applyAlignment="1">
      <alignment horizontal="right"/>
    </xf>
    <xf numFmtId="164" fontId="1858" fillId="0" borderId="2012" xfId="0" applyNumberFormat="1" applyFont="1" applyBorder="1" applyAlignment="1">
      <alignment horizontal="right"/>
    </xf>
    <xf numFmtId="164" fontId="1937" fillId="0" borderId="2098" xfId="0" applyNumberFormat="1" applyFont="1" applyBorder="1" applyAlignment="1">
      <alignment horizontal="right"/>
    </xf>
    <xf numFmtId="164" fontId="1693" fillId="0" borderId="1833" xfId="0" applyNumberFormat="1" applyFont="1" applyBorder="1" applyAlignment="1">
      <alignment horizontal="right"/>
    </xf>
    <xf numFmtId="164" fontId="1778" fillId="0" borderId="1925" xfId="0" applyNumberFormat="1" applyFont="1" applyBorder="1" applyAlignment="1">
      <alignment horizontal="right"/>
    </xf>
    <xf numFmtId="164" fontId="1859" fillId="0" borderId="2013" xfId="0" applyNumberFormat="1" applyFont="1" applyBorder="1" applyAlignment="1">
      <alignment horizontal="right"/>
    </xf>
    <xf numFmtId="164" fontId="1938" fillId="0" borderId="2099" xfId="0" applyNumberFormat="1" applyFont="1" applyBorder="1" applyAlignment="1">
      <alignment horizontal="right"/>
    </xf>
    <xf numFmtId="164" fontId="1694" fillId="0" borderId="1834" xfId="0" applyNumberFormat="1" applyFont="1" applyBorder="1" applyAlignment="1">
      <alignment horizontal="right"/>
    </xf>
    <xf numFmtId="164" fontId="1779" fillId="0" borderId="1926" xfId="0" applyNumberFormat="1" applyFont="1" applyBorder="1" applyAlignment="1">
      <alignment horizontal="right"/>
    </xf>
    <xf numFmtId="164" fontId="1860" fillId="0" borderId="2014" xfId="0" applyNumberFormat="1" applyFont="1" applyBorder="1" applyAlignment="1">
      <alignment horizontal="right"/>
    </xf>
    <xf numFmtId="164" fontId="1939" fillId="0" borderId="2100" xfId="0" applyNumberFormat="1" applyFont="1" applyBorder="1" applyAlignment="1">
      <alignment horizontal="right"/>
    </xf>
    <xf numFmtId="164" fontId="1695" fillId="0" borderId="1835" xfId="0" applyNumberFormat="1" applyFont="1" applyBorder="1" applyAlignment="1">
      <alignment horizontal="right"/>
    </xf>
    <xf numFmtId="164" fontId="1780" fillId="0" borderId="1927" xfId="0" applyNumberFormat="1" applyFont="1" applyBorder="1" applyAlignment="1">
      <alignment horizontal="right"/>
    </xf>
    <xf numFmtId="164" fontId="1861" fillId="0" borderId="2015" xfId="0" applyNumberFormat="1" applyFont="1" applyBorder="1" applyAlignment="1">
      <alignment horizontal="right"/>
    </xf>
    <xf numFmtId="164" fontId="1940" fillId="0" borderId="2101" xfId="0" applyNumberFormat="1" applyFont="1" applyBorder="1" applyAlignment="1">
      <alignment horizontal="right"/>
    </xf>
    <xf numFmtId="164" fontId="1652" fillId="0" borderId="1792" xfId="0" applyNumberFormat="1" applyFont="1" applyBorder="1" applyAlignment="1">
      <alignment horizontal="right"/>
    </xf>
    <xf numFmtId="164" fontId="1737" fillId="0" borderId="1884" xfId="0" applyNumberFormat="1" applyFont="1" applyBorder="1" applyAlignment="1">
      <alignment horizontal="right"/>
    </xf>
    <xf numFmtId="164" fontId="1822" fillId="0" borderId="1976" xfId="0" applyNumberFormat="1" applyFont="1" applyBorder="1" applyAlignment="1">
      <alignment horizontal="right"/>
    </xf>
    <xf numFmtId="164" fontId="1897" fillId="0" borderId="2058" xfId="0" applyNumberFormat="1" applyFont="1" applyBorder="1" applyAlignment="1">
      <alignment horizontal="right"/>
    </xf>
    <xf numFmtId="164" fontId="1701" fillId="0" borderId="1841" xfId="0" applyNumberFormat="1" applyFont="1" applyBorder="1" applyAlignment="1">
      <alignment horizontal="right"/>
    </xf>
    <xf numFmtId="164" fontId="1786" fillId="0" borderId="1933" xfId="0" applyNumberFormat="1" applyFont="1" applyBorder="1" applyAlignment="1">
      <alignment horizontal="right"/>
    </xf>
    <xf numFmtId="164" fontId="1865" fillId="0" borderId="2019" xfId="0" applyNumberFormat="1" applyFont="1" applyBorder="1" applyAlignment="1">
      <alignment horizontal="right"/>
    </xf>
    <xf numFmtId="164" fontId="1946" fillId="0" borderId="2107" xfId="0" applyNumberFormat="1" applyFont="1" applyBorder="1" applyAlignment="1">
      <alignment horizontal="right"/>
    </xf>
    <xf numFmtId="164" fontId="1702" fillId="0" borderId="1842" xfId="0" applyNumberFormat="1" applyFont="1" applyBorder="1" applyAlignment="1">
      <alignment horizontal="right"/>
    </xf>
    <xf numFmtId="164" fontId="1787" fillId="0" borderId="1934" xfId="0" applyNumberFormat="1" applyFont="1" applyBorder="1" applyAlignment="1">
      <alignment horizontal="right"/>
    </xf>
    <xf numFmtId="164" fontId="1866" fillId="0" borderId="2020" xfId="0" applyNumberFormat="1" applyFont="1" applyBorder="1" applyAlignment="1">
      <alignment horizontal="right"/>
    </xf>
    <xf numFmtId="164" fontId="1947" fillId="0" borderId="2108" xfId="0" applyNumberFormat="1" applyFont="1" applyBorder="1" applyAlignment="1">
      <alignment horizontal="right"/>
    </xf>
    <xf numFmtId="164" fontId="1703" fillId="0" borderId="1843" xfId="0" applyNumberFormat="1" applyFont="1" applyBorder="1" applyAlignment="1">
      <alignment horizontal="right"/>
    </xf>
    <xf numFmtId="164" fontId="1788" fillId="0" borderId="1935" xfId="0" applyNumberFormat="1" applyFont="1" applyBorder="1" applyAlignment="1">
      <alignment horizontal="right"/>
    </xf>
    <xf numFmtId="164" fontId="1867" fillId="0" borderId="2021" xfId="0" applyNumberFormat="1" applyFont="1" applyBorder="1" applyAlignment="1">
      <alignment horizontal="right"/>
    </xf>
    <xf numFmtId="164" fontId="1948" fillId="0" borderId="2109" xfId="0" applyNumberFormat="1" applyFont="1" applyBorder="1" applyAlignment="1">
      <alignment horizontal="right"/>
    </xf>
    <xf numFmtId="164" fontId="1704" fillId="0" borderId="1844" xfId="0" applyNumberFormat="1" applyFont="1" applyBorder="1" applyAlignment="1">
      <alignment horizontal="right"/>
    </xf>
    <xf numFmtId="164" fontId="1789" fillId="0" borderId="1936" xfId="0" applyNumberFormat="1" applyFont="1" applyBorder="1" applyAlignment="1">
      <alignment horizontal="right"/>
    </xf>
    <xf numFmtId="164" fontId="1868" fillId="0" borderId="2022" xfId="0" applyNumberFormat="1" applyFont="1" applyBorder="1" applyAlignment="1">
      <alignment horizontal="right"/>
    </xf>
    <xf numFmtId="164" fontId="1949" fillId="0" borderId="2110" xfId="0" applyNumberFormat="1" applyFont="1" applyBorder="1" applyAlignment="1">
      <alignment horizontal="right"/>
    </xf>
    <xf numFmtId="164" fontId="1705" fillId="0" borderId="1845" xfId="0" applyNumberFormat="1" applyFont="1" applyBorder="1" applyAlignment="1">
      <alignment horizontal="right"/>
    </xf>
    <xf numFmtId="164" fontId="1790" fillId="0" borderId="1937" xfId="0" applyNumberFormat="1" applyFont="1" applyBorder="1" applyAlignment="1">
      <alignment horizontal="right"/>
    </xf>
    <xf numFmtId="164" fontId="1869" fillId="0" borderId="2023" xfId="0" applyNumberFormat="1" applyFont="1" applyBorder="1" applyAlignment="1">
      <alignment horizontal="right"/>
    </xf>
    <xf numFmtId="164" fontId="1950" fillId="0" borderId="2111" xfId="0" applyNumberFormat="1" applyFont="1" applyBorder="1" applyAlignment="1">
      <alignment horizontal="right"/>
    </xf>
    <xf numFmtId="164" fontId="1706" fillId="0" borderId="1846" xfId="0" applyNumberFormat="1" applyFont="1" applyBorder="1" applyAlignment="1">
      <alignment horizontal="right"/>
    </xf>
    <xf numFmtId="164" fontId="1791" fillId="0" borderId="1938" xfId="0" applyNumberFormat="1" applyFont="1" applyBorder="1" applyAlignment="1">
      <alignment horizontal="right"/>
    </xf>
    <xf numFmtId="164" fontId="1870" fillId="0" borderId="2024" xfId="0" applyNumberFormat="1" applyFont="1" applyBorder="1" applyAlignment="1">
      <alignment horizontal="right"/>
    </xf>
    <xf numFmtId="164" fontId="1951" fillId="0" borderId="2112" xfId="0" applyNumberFormat="1" applyFont="1" applyBorder="1" applyAlignment="1">
      <alignment horizontal="right"/>
    </xf>
    <xf numFmtId="164" fontId="1707" fillId="0" borderId="1847" xfId="0" applyNumberFormat="1" applyFont="1" applyBorder="1" applyAlignment="1">
      <alignment horizontal="right"/>
    </xf>
    <xf numFmtId="164" fontId="1792" fillId="0" borderId="1939" xfId="0" applyNumberFormat="1" applyFont="1" applyBorder="1" applyAlignment="1">
      <alignment horizontal="right"/>
    </xf>
    <xf numFmtId="164" fontId="1871" fillId="0" borderId="2025" xfId="0" applyNumberFormat="1" applyFont="1" applyBorder="1" applyAlignment="1">
      <alignment horizontal="right"/>
    </xf>
    <xf numFmtId="164" fontId="1952" fillId="0" borderId="2113" xfId="0" applyNumberFormat="1" applyFont="1" applyBorder="1" applyAlignment="1">
      <alignment horizontal="right"/>
    </xf>
    <xf numFmtId="164" fontId="1708" fillId="0" borderId="1848" xfId="0" applyNumberFormat="1" applyFont="1" applyBorder="1" applyAlignment="1">
      <alignment horizontal="right"/>
    </xf>
    <xf numFmtId="164" fontId="1793" fillId="0" borderId="1940" xfId="0" applyNumberFormat="1" applyFont="1" applyBorder="1" applyAlignment="1">
      <alignment horizontal="right"/>
    </xf>
    <xf numFmtId="164" fontId="1872" fillId="0" borderId="2026" xfId="0" applyNumberFormat="1" applyFont="1" applyBorder="1" applyAlignment="1">
      <alignment horizontal="right"/>
    </xf>
    <xf numFmtId="164" fontId="1953" fillId="0" borderId="2114" xfId="0" applyNumberFormat="1" applyFont="1" applyBorder="1" applyAlignment="1">
      <alignment horizontal="right"/>
    </xf>
    <xf numFmtId="164" fontId="1709" fillId="0" borderId="1849" xfId="0" applyNumberFormat="1" applyFont="1" applyBorder="1" applyAlignment="1">
      <alignment horizontal="right"/>
    </xf>
    <xf numFmtId="164" fontId="1794" fillId="0" borderId="1941" xfId="0" applyNumberFormat="1" applyFont="1" applyBorder="1" applyAlignment="1">
      <alignment horizontal="right"/>
    </xf>
    <xf numFmtId="164" fontId="1873" fillId="0" borderId="2027" xfId="0" applyNumberFormat="1" applyFont="1" applyBorder="1" applyAlignment="1">
      <alignment horizontal="right"/>
    </xf>
    <xf numFmtId="164" fontId="1954" fillId="0" borderId="2115" xfId="0" applyNumberFormat="1" applyFont="1" applyBorder="1" applyAlignment="1">
      <alignment horizontal="right"/>
    </xf>
    <xf numFmtId="164" fontId="1710" fillId="0" borderId="1850" xfId="0" applyNumberFormat="1" applyFont="1" applyBorder="1" applyAlignment="1">
      <alignment horizontal="right"/>
    </xf>
    <xf numFmtId="164" fontId="1795" fillId="0" borderId="1942" xfId="0" applyNumberFormat="1" applyFont="1" applyBorder="1" applyAlignment="1">
      <alignment horizontal="right"/>
    </xf>
    <xf numFmtId="164" fontId="1874" fillId="0" borderId="2028" xfId="0" applyNumberFormat="1" applyFont="1" applyBorder="1" applyAlignment="1">
      <alignment horizontal="right"/>
    </xf>
    <xf numFmtId="164" fontId="1955" fillId="0" borderId="2116" xfId="0" applyNumberFormat="1" applyFont="1" applyBorder="1" applyAlignment="1">
      <alignment horizontal="right"/>
    </xf>
    <xf numFmtId="164" fontId="1711" fillId="0" borderId="1851" xfId="0" applyNumberFormat="1" applyFont="1" applyBorder="1" applyAlignment="1">
      <alignment horizontal="right"/>
    </xf>
    <xf numFmtId="164" fontId="1796" fillId="0" borderId="1943" xfId="0" applyNumberFormat="1" applyFont="1" applyBorder="1" applyAlignment="1">
      <alignment horizontal="right"/>
    </xf>
    <xf numFmtId="164" fontId="1875" fillId="0" borderId="2029" xfId="0" applyNumberFormat="1" applyFont="1" applyBorder="1" applyAlignment="1">
      <alignment horizontal="right"/>
    </xf>
    <xf numFmtId="164" fontId="1956" fillId="0" borderId="2117" xfId="0" applyNumberFormat="1" applyFont="1" applyBorder="1" applyAlignment="1">
      <alignment horizontal="right"/>
    </xf>
    <xf numFmtId="164" fontId="1712" fillId="0" borderId="1852" xfId="0" applyNumberFormat="1" applyFont="1" applyBorder="1" applyAlignment="1">
      <alignment horizontal="right"/>
    </xf>
    <xf numFmtId="164" fontId="1797" fillId="0" borderId="1944" xfId="0" applyNumberFormat="1" applyFont="1" applyBorder="1" applyAlignment="1">
      <alignment horizontal="right"/>
    </xf>
    <xf numFmtId="164" fontId="1876" fillId="0" borderId="2030" xfId="0" applyNumberFormat="1" applyFont="1" applyBorder="1" applyAlignment="1">
      <alignment horizontal="right"/>
    </xf>
    <xf numFmtId="164" fontId="1957" fillId="0" borderId="2118" xfId="0" applyNumberFormat="1" applyFont="1" applyBorder="1" applyAlignment="1">
      <alignment horizontal="right"/>
    </xf>
    <xf numFmtId="164" fontId="1713" fillId="0" borderId="1853" xfId="0" applyNumberFormat="1" applyFont="1" applyBorder="1" applyAlignment="1">
      <alignment horizontal="right"/>
    </xf>
    <xf numFmtId="164" fontId="1798" fillId="0" borderId="1945" xfId="0" applyNumberFormat="1" applyFont="1" applyBorder="1" applyAlignment="1">
      <alignment horizontal="right"/>
    </xf>
    <xf numFmtId="164" fontId="1877" fillId="0" borderId="2031" xfId="0" applyNumberFormat="1" applyFont="1" applyBorder="1" applyAlignment="1">
      <alignment horizontal="right"/>
    </xf>
    <xf numFmtId="164" fontId="1958" fillId="0" borderId="2119" xfId="0" applyNumberFormat="1" applyFont="1" applyBorder="1" applyAlignment="1">
      <alignment horizontal="right"/>
    </xf>
    <xf numFmtId="164" fontId="1714" fillId="0" borderId="1854" xfId="0" applyNumberFormat="1" applyFont="1" applyBorder="1" applyAlignment="1">
      <alignment horizontal="right"/>
    </xf>
    <xf numFmtId="164" fontId="1799" fillId="0" borderId="1946" xfId="0" applyNumberFormat="1" applyFont="1" applyBorder="1" applyAlignment="1">
      <alignment horizontal="right"/>
    </xf>
    <xf numFmtId="164" fontId="1878" fillId="0" borderId="2032" xfId="0" applyNumberFormat="1" applyFont="1" applyBorder="1" applyAlignment="1">
      <alignment horizontal="right"/>
    </xf>
    <xf numFmtId="164" fontId="1959" fillId="0" borderId="2120" xfId="0" applyNumberFormat="1" applyFont="1" applyBorder="1" applyAlignment="1">
      <alignment horizontal="right"/>
    </xf>
    <xf numFmtId="164" fontId="1653" fillId="0" borderId="1793" xfId="0" applyNumberFormat="1" applyFont="1" applyBorder="1" applyAlignment="1">
      <alignment horizontal="right"/>
    </xf>
    <xf numFmtId="164" fontId="1738" fillId="0" borderId="1885" xfId="0" applyNumberFormat="1" applyFont="1" applyBorder="1" applyAlignment="1">
      <alignment horizontal="right"/>
    </xf>
    <xf numFmtId="164" fontId="1823" fillId="0" borderId="1977" xfId="0" applyNumberFormat="1" applyFont="1" applyBorder="1" applyAlignment="1">
      <alignment horizontal="right"/>
    </xf>
    <xf numFmtId="164" fontId="1898" fillId="0" borderId="2059" xfId="0" applyNumberFormat="1" applyFont="1" applyBorder="1" applyAlignment="1">
      <alignment horizontal="right"/>
    </xf>
    <xf numFmtId="164" fontId="1720" fillId="0" borderId="1860" xfId="0" applyNumberFormat="1" applyFont="1" applyBorder="1" applyAlignment="1">
      <alignment horizontal="right"/>
    </xf>
    <xf numFmtId="164" fontId="1805" fillId="0" borderId="1952" xfId="0" applyNumberFormat="1" applyFont="1" applyBorder="1" applyAlignment="1">
      <alignment horizontal="right"/>
    </xf>
    <xf numFmtId="164" fontId="1882" fillId="0" borderId="2036" xfId="0" applyNumberFormat="1" applyFont="1" applyBorder="1" applyAlignment="1">
      <alignment horizontal="right"/>
    </xf>
    <xf numFmtId="164" fontId="1965" fillId="0" borderId="2126" xfId="0" applyNumberFormat="1" applyFont="1" applyBorder="1" applyAlignment="1">
      <alignment horizontal="right"/>
    </xf>
    <xf numFmtId="164" fontId="1721" fillId="0" borderId="1861" xfId="0" applyNumberFormat="1" applyFont="1" applyBorder="1" applyAlignment="1">
      <alignment horizontal="right"/>
    </xf>
    <xf numFmtId="164" fontId="1806" fillId="0" borderId="1953" xfId="0" applyNumberFormat="1" applyFont="1" applyBorder="1" applyAlignment="1">
      <alignment horizontal="right"/>
    </xf>
    <xf numFmtId="164" fontId="1883" fillId="0" borderId="2037" xfId="0" applyNumberFormat="1" applyFont="1" applyBorder="1" applyAlignment="1">
      <alignment horizontal="right"/>
    </xf>
    <xf numFmtId="164" fontId="1966" fillId="0" borderId="2127" xfId="0" applyNumberFormat="1" applyFont="1" applyBorder="1" applyAlignment="1">
      <alignment horizontal="right"/>
    </xf>
    <xf numFmtId="164" fontId="1722" fillId="0" borderId="1862" xfId="0" applyNumberFormat="1" applyFont="1" applyBorder="1" applyAlignment="1">
      <alignment horizontal="right"/>
    </xf>
    <xf numFmtId="164" fontId="1807" fillId="0" borderId="1954" xfId="0" applyNumberFormat="1" applyFont="1" applyBorder="1" applyAlignment="1">
      <alignment horizontal="right"/>
    </xf>
    <xf numFmtId="164" fontId="1884" fillId="0" borderId="2038" xfId="0" applyNumberFormat="1" applyFont="1" applyBorder="1" applyAlignment="1">
      <alignment horizontal="right"/>
    </xf>
    <xf numFmtId="164" fontId="1967" fillId="0" borderId="2128" xfId="0" applyNumberFormat="1" applyFont="1" applyBorder="1" applyAlignment="1">
      <alignment horizontal="right"/>
    </xf>
    <xf numFmtId="164" fontId="1723" fillId="0" borderId="1863" xfId="0" applyNumberFormat="1" applyFont="1" applyBorder="1" applyAlignment="1">
      <alignment horizontal="right"/>
    </xf>
    <xf numFmtId="164" fontId="1808" fillId="0" borderId="1955" xfId="0" applyNumberFormat="1" applyFont="1" applyBorder="1" applyAlignment="1">
      <alignment horizontal="right"/>
    </xf>
    <xf numFmtId="164" fontId="1885" fillId="0" borderId="2039" xfId="0" applyNumberFormat="1" applyFont="1" applyBorder="1" applyAlignment="1">
      <alignment horizontal="right"/>
    </xf>
    <xf numFmtId="164" fontId="1968" fillId="0" borderId="2129" xfId="0" applyNumberFormat="1" applyFont="1" applyBorder="1" applyAlignment="1">
      <alignment horizontal="right"/>
    </xf>
    <xf numFmtId="164" fontId="1724" fillId="0" borderId="1864" xfId="0" applyNumberFormat="1" applyFont="1" applyBorder="1" applyAlignment="1">
      <alignment horizontal="right"/>
    </xf>
    <xf numFmtId="164" fontId="1809" fillId="0" borderId="1956" xfId="0" applyNumberFormat="1" applyFont="1" applyBorder="1" applyAlignment="1">
      <alignment horizontal="right"/>
    </xf>
    <xf numFmtId="164" fontId="1886" fillId="0" borderId="2040" xfId="0" applyNumberFormat="1" applyFont="1" applyBorder="1" applyAlignment="1">
      <alignment horizontal="right"/>
    </xf>
    <xf numFmtId="164" fontId="1969" fillId="0" borderId="2130" xfId="0" applyNumberFormat="1" applyFont="1" applyBorder="1" applyAlignment="1">
      <alignment horizontal="right"/>
    </xf>
    <xf numFmtId="164" fontId="1725" fillId="0" borderId="1865" xfId="0" applyNumberFormat="1" applyFont="1" applyBorder="1" applyAlignment="1">
      <alignment horizontal="right"/>
    </xf>
    <xf numFmtId="164" fontId="1810" fillId="0" borderId="1957" xfId="0" applyNumberFormat="1" applyFont="1" applyBorder="1" applyAlignment="1">
      <alignment horizontal="right"/>
    </xf>
    <xf numFmtId="164" fontId="1887" fillId="0" borderId="2041" xfId="0" applyNumberFormat="1" applyFont="1" applyBorder="1" applyAlignment="1">
      <alignment horizontal="right"/>
    </xf>
    <xf numFmtId="164" fontId="1970" fillId="0" borderId="2131" xfId="0" applyNumberFormat="1" applyFont="1" applyBorder="1" applyAlignment="1">
      <alignment horizontal="right"/>
    </xf>
    <xf numFmtId="164" fontId="1" fillId="0" borderId="1866" xfId="0" applyNumberFormat="1" applyFont="1" applyBorder="1" applyAlignment="1">
      <alignment horizontal="right"/>
    </xf>
    <xf numFmtId="164" fontId="1" fillId="0" borderId="1958" xfId="0" applyNumberFormat="1" applyFont="1" applyBorder="1" applyAlignment="1">
      <alignment horizontal="right"/>
    </xf>
    <xf numFmtId="164" fontId="1" fillId="0" borderId="2042" xfId="0" applyNumberFormat="1" applyFont="1" applyBorder="1" applyAlignment="1">
      <alignment horizontal="right"/>
    </xf>
    <xf numFmtId="164" fontId="1" fillId="0" borderId="2132" xfId="0" applyNumberFormat="1" applyFont="1" applyBorder="1" applyAlignment="1">
      <alignment horizontal="right"/>
    </xf>
    <xf numFmtId="164" fontId="1" fillId="0" borderId="1867" xfId="0" applyNumberFormat="1" applyFont="1" applyBorder="1" applyAlignment="1">
      <alignment horizontal="right"/>
    </xf>
    <xf numFmtId="164" fontId="1" fillId="0" borderId="1959" xfId="0" applyNumberFormat="1" applyFont="1" applyBorder="1" applyAlignment="1">
      <alignment horizontal="right"/>
    </xf>
    <xf numFmtId="164" fontId="1" fillId="0" borderId="2043" xfId="0" applyNumberFormat="1" applyFont="1" applyBorder="1" applyAlignment="1">
      <alignment horizontal="right"/>
    </xf>
    <xf numFmtId="164" fontId="1" fillId="0" borderId="2133" xfId="0" applyNumberFormat="1" applyFont="1" applyBorder="1" applyAlignment="1">
      <alignment horizontal="right"/>
    </xf>
    <xf numFmtId="164" fontId="1" fillId="0" borderId="1868" xfId="0" applyNumberFormat="1" applyFont="1" applyBorder="1" applyAlignment="1">
      <alignment horizontal="right"/>
    </xf>
    <xf numFmtId="164" fontId="1" fillId="0" borderId="1960" xfId="0" applyNumberFormat="1" applyFont="1" applyBorder="1" applyAlignment="1">
      <alignment horizontal="right"/>
    </xf>
    <xf numFmtId="164" fontId="1" fillId="0" borderId="2044" xfId="0" applyNumberFormat="1" applyFont="1" applyBorder="1" applyAlignment="1">
      <alignment horizontal="right"/>
    </xf>
    <xf numFmtId="164" fontId="1" fillId="0" borderId="2134" xfId="0" applyNumberFormat="1" applyFont="1" applyBorder="1" applyAlignment="1">
      <alignment horizontal="right"/>
    </xf>
    <xf numFmtId="164" fontId="1" fillId="0" borderId="1869" xfId="0" applyNumberFormat="1" applyFont="1" applyBorder="1" applyAlignment="1">
      <alignment horizontal="right"/>
    </xf>
    <xf numFmtId="164" fontId="1" fillId="0" borderId="1961" xfId="0" applyNumberFormat="1" applyFont="1" applyBorder="1" applyAlignment="1">
      <alignment horizontal="right"/>
    </xf>
    <xf numFmtId="164" fontId="1" fillId="0" borderId="2045" xfId="0" applyNumberFormat="1" applyFont="1" applyBorder="1" applyAlignment="1">
      <alignment horizontal="right"/>
    </xf>
    <xf numFmtId="164" fontId="1" fillId="0" borderId="2135" xfId="0" applyNumberFormat="1" applyFont="1" applyBorder="1" applyAlignment="1">
      <alignment horizontal="right"/>
    </xf>
    <xf numFmtId="164" fontId="1" fillId="0" borderId="1870" xfId="0" applyNumberFormat="1" applyFont="1" applyBorder="1" applyAlignment="1">
      <alignment horizontal="right"/>
    </xf>
    <xf numFmtId="164" fontId="1" fillId="0" borderId="1962" xfId="0" applyNumberFormat="1" applyFont="1" applyBorder="1" applyAlignment="1">
      <alignment horizontal="right"/>
    </xf>
    <xf numFmtId="164" fontId="1" fillId="0" borderId="2046" xfId="0" applyNumberFormat="1" applyFont="1" applyBorder="1" applyAlignment="1">
      <alignment horizontal="right"/>
    </xf>
    <xf numFmtId="164" fontId="1" fillId="0" borderId="2136" xfId="0" applyNumberFormat="1" applyFont="1" applyBorder="1" applyAlignment="1">
      <alignment horizontal="right"/>
    </xf>
    <xf numFmtId="164" fontId="1" fillId="0" borderId="1871" xfId="0" applyNumberFormat="1" applyFont="1" applyBorder="1" applyAlignment="1">
      <alignment horizontal="right"/>
    </xf>
    <xf numFmtId="164" fontId="1" fillId="0" borderId="1963" xfId="0" applyNumberFormat="1" applyFont="1" applyBorder="1" applyAlignment="1">
      <alignment horizontal="right"/>
    </xf>
    <xf numFmtId="164" fontId="1" fillId="0" borderId="2047" xfId="0" applyNumberFormat="1" applyFont="1" applyBorder="1" applyAlignment="1">
      <alignment horizontal="right"/>
    </xf>
    <xf numFmtId="164" fontId="1" fillId="0" borderId="2137" xfId="0" applyNumberFormat="1" applyFont="1" applyBorder="1" applyAlignment="1">
      <alignment horizontal="right"/>
    </xf>
    <xf numFmtId="164" fontId="1" fillId="0" borderId="1872" xfId="0" applyNumberFormat="1" applyFont="1" applyBorder="1" applyAlignment="1">
      <alignment horizontal="right"/>
    </xf>
    <xf numFmtId="164" fontId="1" fillId="0" borderId="1964" xfId="0" applyNumberFormat="1" applyFont="1" applyBorder="1" applyAlignment="1">
      <alignment horizontal="right"/>
    </xf>
    <xf numFmtId="164" fontId="1" fillId="0" borderId="2048" xfId="0" applyNumberFormat="1" applyFont="1" applyBorder="1" applyAlignment="1">
      <alignment horizontal="right"/>
    </xf>
    <xf numFmtId="164" fontId="1" fillId="0" borderId="2138" xfId="0" applyNumberFormat="1" applyFont="1" applyBorder="1" applyAlignment="1">
      <alignment horizontal="right"/>
    </xf>
    <xf numFmtId="164" fontId="1726" fillId="0" borderId="1873" xfId="0" applyNumberFormat="1" applyFont="1" applyBorder="1" applyAlignment="1">
      <alignment horizontal="right"/>
    </xf>
    <xf numFmtId="164" fontId="1811" fillId="0" borderId="1965" xfId="0" applyNumberFormat="1" applyFont="1" applyBorder="1" applyAlignment="1">
      <alignment horizontal="right"/>
    </xf>
    <xf numFmtId="164" fontId="1888" fillId="0" borderId="2049" xfId="0" applyNumberFormat="1" applyFont="1" applyBorder="1" applyAlignment="1">
      <alignment horizontal="right"/>
    </xf>
    <xf numFmtId="164" fontId="1971" fillId="0" borderId="2139" xfId="0" applyNumberFormat="1" applyFont="1" applyBorder="1" applyAlignment="1">
      <alignment horizontal="right"/>
    </xf>
    <xf numFmtId="164" fontId="1654" fillId="0" borderId="1794" xfId="0" applyNumberFormat="1" applyFont="1" applyBorder="1" applyAlignment="1">
      <alignment horizontal="right"/>
    </xf>
    <xf numFmtId="164" fontId="1739" fillId="0" borderId="1886" xfId="0" applyNumberFormat="1" applyFont="1" applyBorder="1" applyAlignment="1">
      <alignment horizontal="right"/>
    </xf>
    <xf numFmtId="164" fontId="1824" fillId="0" borderId="1978" xfId="0" applyNumberFormat="1" applyFont="1" applyBorder="1" applyAlignment="1">
      <alignment horizontal="right"/>
    </xf>
    <xf numFmtId="164" fontId="1899" fillId="0" borderId="2060" xfId="0" applyNumberFormat="1" applyFont="1" applyBorder="1" applyAlignment="1">
      <alignment horizontal="right"/>
    </xf>
    <xf numFmtId="164" fontId="1732" fillId="0" borderId="1879" xfId="0" applyNumberFormat="1" applyFont="1" applyBorder="1" applyAlignment="1">
      <alignment horizontal="right"/>
    </xf>
    <xf numFmtId="164" fontId="1817" fillId="0" borderId="1971" xfId="0" applyNumberFormat="1" applyFont="1" applyBorder="1" applyAlignment="1">
      <alignment horizontal="right"/>
    </xf>
    <xf numFmtId="164" fontId="1892" fillId="0" borderId="2053" xfId="0" applyNumberFormat="1" applyFont="1" applyBorder="1" applyAlignment="1">
      <alignment horizontal="right"/>
    </xf>
    <xf numFmtId="164" fontId="1977" fillId="0" borderId="2145" xfId="0" applyNumberFormat="1" applyFont="1" applyBorder="1" applyAlignment="1">
      <alignment horizontal="right"/>
    </xf>
    <xf numFmtId="164" fontId="1733" fillId="0" borderId="1880" xfId="0" applyNumberFormat="1" applyFont="1" applyBorder="1" applyAlignment="1">
      <alignment horizontal="right"/>
    </xf>
    <xf numFmtId="164" fontId="1818" fillId="0" borderId="1972" xfId="0" applyNumberFormat="1" applyFont="1" applyBorder="1" applyAlignment="1">
      <alignment horizontal="right"/>
    </xf>
    <xf numFmtId="164" fontId="1893" fillId="0" borderId="2054" xfId="0" applyNumberFormat="1" applyFont="1" applyBorder="1" applyAlignment="1">
      <alignment horizontal="right"/>
    </xf>
    <xf numFmtId="164" fontId="1978" fillId="0" borderId="2146" xfId="0" applyNumberFormat="1" applyFont="1" applyBorder="1" applyAlignment="1">
      <alignment horizontal="right"/>
    </xf>
    <xf numFmtId="164" fontId="1734" fillId="0" borderId="1881" xfId="0" applyNumberFormat="1" applyFont="1" applyBorder="1" applyAlignment="1">
      <alignment horizontal="right"/>
    </xf>
    <xf numFmtId="164" fontId="1819" fillId="0" borderId="1973" xfId="0" applyNumberFormat="1" applyFont="1" applyBorder="1" applyAlignment="1">
      <alignment horizontal="right"/>
    </xf>
    <xf numFmtId="164" fontId="1894" fillId="0" borderId="2055" xfId="0" applyNumberFormat="1" applyFont="1" applyBorder="1" applyAlignment="1">
      <alignment horizontal="right"/>
    </xf>
    <xf numFmtId="164" fontId="1979" fillId="0" borderId="2147" xfId="0" applyNumberFormat="1" applyFont="1" applyBorder="1" applyAlignment="1">
      <alignment horizontal="right"/>
    </xf>
    <xf numFmtId="164" fontId="1735" fillId="0" borderId="1882" xfId="0" applyNumberFormat="1" applyFont="1" applyBorder="1" applyAlignment="1">
      <alignment horizontal="right"/>
    </xf>
    <xf numFmtId="164" fontId="1820" fillId="0" borderId="1974" xfId="0" applyNumberFormat="1" applyFont="1" applyBorder="1" applyAlignment="1">
      <alignment horizontal="right"/>
    </xf>
    <xf numFmtId="164" fontId="1895" fillId="0" borderId="2056" xfId="0" applyNumberFormat="1" applyFont="1" applyBorder="1" applyAlignment="1">
      <alignment horizontal="right"/>
    </xf>
    <xf numFmtId="164" fontId="1980" fillId="0" borderId="2148" xfId="0" applyNumberFormat="1" applyFont="1" applyBorder="1" applyAlignment="1">
      <alignment horizontal="right"/>
    </xf>
    <xf numFmtId="164" fontId="1655" fillId="0" borderId="1795" xfId="0" applyNumberFormat="1" applyFont="1" applyBorder="1" applyAlignment="1">
      <alignment horizontal="right"/>
    </xf>
    <xf numFmtId="164" fontId="1740" fillId="0" borderId="1887" xfId="0" applyNumberFormat="1" applyFont="1" applyBorder="1" applyAlignment="1">
      <alignment horizontal="right"/>
    </xf>
    <xf numFmtId="164" fontId="1825" fillId="0" borderId="1979" xfId="0" applyNumberFormat="1" applyFont="1" applyBorder="1" applyAlignment="1">
      <alignment horizontal="right"/>
    </xf>
    <xf numFmtId="164" fontId="1900" fillId="0" borderId="2061" xfId="0" applyNumberFormat="1" applyFont="1" applyBorder="1" applyAlignment="1">
      <alignment horizontal="right"/>
    </xf>
    <xf numFmtId="164" fontId="4728" fillId="0" borderId="5064" xfId="0" applyNumberFormat="1" applyFont="1" applyBorder="1" applyAlignment="1">
      <alignment horizontal="right"/>
    </xf>
    <xf numFmtId="164" fontId="4767" fillId="0" borderId="5103" xfId="0" applyNumberFormat="1" applyFont="1" applyBorder="1" applyAlignment="1">
      <alignment horizontal="right"/>
    </xf>
    <xf numFmtId="164" fontId="4804" fillId="0" borderId="5140" xfId="0" applyNumberFormat="1" applyFont="1" applyBorder="1" applyAlignment="1">
      <alignment horizontal="right"/>
    </xf>
    <xf numFmtId="164" fontId="4841" fillId="0" borderId="5177" xfId="0" applyNumberFormat="1" applyFont="1" applyBorder="1" applyAlignment="1">
      <alignment horizontal="right"/>
    </xf>
    <xf numFmtId="164" fontId="4729" fillId="0" borderId="5065" xfId="0" applyNumberFormat="1" applyFont="1" applyBorder="1" applyAlignment="1">
      <alignment horizontal="right"/>
    </xf>
    <xf numFmtId="164" fontId="4768" fillId="0" borderId="5104" xfId="0" applyNumberFormat="1" applyFont="1" applyBorder="1" applyAlignment="1">
      <alignment horizontal="right"/>
    </xf>
    <xf numFmtId="164" fontId="4805" fillId="0" borderId="5141" xfId="0" applyNumberFormat="1" applyFont="1" applyBorder="1" applyAlignment="1">
      <alignment horizontal="right"/>
    </xf>
    <xf numFmtId="164" fontId="4842" fillId="0" borderId="5178" xfId="0" applyNumberFormat="1" applyFont="1" applyBorder="1" applyAlignment="1">
      <alignment horizontal="right"/>
    </xf>
    <xf numFmtId="164" fontId="4730" fillId="0" borderId="5066" xfId="0" applyNumberFormat="1" applyFont="1" applyBorder="1" applyAlignment="1">
      <alignment horizontal="right"/>
    </xf>
    <xf numFmtId="164" fontId="4769" fillId="0" borderId="5105" xfId="0" applyNumberFormat="1" applyFont="1" applyBorder="1" applyAlignment="1">
      <alignment horizontal="right"/>
    </xf>
    <xf numFmtId="164" fontId="4806" fillId="0" borderId="5142" xfId="0" applyNumberFormat="1" applyFont="1" applyBorder="1" applyAlignment="1">
      <alignment horizontal="right"/>
    </xf>
    <xf numFmtId="164" fontId="4843" fillId="0" borderId="5179" xfId="0" applyNumberFormat="1" applyFont="1" applyBorder="1" applyAlignment="1">
      <alignment horizontal="right"/>
    </xf>
    <xf numFmtId="164" fontId="4731" fillId="0" borderId="5067" xfId="0" applyNumberFormat="1" applyFont="1" applyBorder="1" applyAlignment="1">
      <alignment horizontal="right"/>
    </xf>
    <xf numFmtId="164" fontId="4770" fillId="0" borderId="5106" xfId="0" applyNumberFormat="1" applyFont="1" applyBorder="1" applyAlignment="1">
      <alignment horizontal="right"/>
    </xf>
    <xf numFmtId="164" fontId="4807" fillId="0" borderId="5143" xfId="0" applyNumberFormat="1" applyFont="1" applyBorder="1" applyAlignment="1">
      <alignment horizontal="right"/>
    </xf>
    <xf numFmtId="164" fontId="4844" fillId="0" borderId="5180" xfId="0" applyNumberFormat="1" applyFont="1" applyBorder="1" applyAlignment="1">
      <alignment horizontal="right"/>
    </xf>
    <xf numFmtId="164" fontId="4732" fillId="0" borderId="5068" xfId="0" applyNumberFormat="1" applyFont="1" applyBorder="1" applyAlignment="1">
      <alignment horizontal="right"/>
    </xf>
    <xf numFmtId="164" fontId="4771" fillId="0" borderId="5107" xfId="0" applyNumberFormat="1" applyFont="1" applyBorder="1" applyAlignment="1">
      <alignment horizontal="right"/>
    </xf>
    <xf numFmtId="164" fontId="4808" fillId="0" borderId="5144" xfId="0" applyNumberFormat="1" applyFont="1" applyBorder="1" applyAlignment="1">
      <alignment horizontal="right"/>
    </xf>
    <xf numFmtId="164" fontId="4845" fillId="0" borderId="5181" xfId="0" applyNumberFormat="1" applyFont="1" applyBorder="1" applyAlignment="1">
      <alignment horizontal="right"/>
    </xf>
    <xf numFmtId="164" fontId="4733" fillId="0" borderId="5069" xfId="0" applyNumberFormat="1" applyFont="1" applyBorder="1" applyAlignment="1">
      <alignment horizontal="right"/>
    </xf>
    <xf numFmtId="164" fontId="4772" fillId="0" borderId="5108" xfId="0" applyNumberFormat="1" applyFont="1" applyBorder="1" applyAlignment="1">
      <alignment horizontal="right"/>
    </xf>
    <xf numFmtId="164" fontId="4809" fillId="0" borderId="5145" xfId="0" applyNumberFormat="1" applyFont="1" applyBorder="1" applyAlignment="1">
      <alignment horizontal="right"/>
    </xf>
    <xf numFmtId="164" fontId="4846" fillId="0" borderId="5182" xfId="0" applyNumberFormat="1" applyFont="1" applyBorder="1" applyAlignment="1">
      <alignment horizontal="right"/>
    </xf>
    <xf numFmtId="164" fontId="4734" fillId="0" borderId="5070" xfId="0" applyNumberFormat="1" applyFont="1" applyBorder="1" applyAlignment="1">
      <alignment horizontal="right"/>
    </xf>
    <xf numFmtId="164" fontId="4773" fillId="0" borderId="5109" xfId="0" applyNumberFormat="1" applyFont="1" applyBorder="1" applyAlignment="1">
      <alignment horizontal="right"/>
    </xf>
    <xf numFmtId="164" fontId="4810" fillId="0" borderId="5146" xfId="0" applyNumberFormat="1" applyFont="1" applyBorder="1" applyAlignment="1">
      <alignment horizontal="right"/>
    </xf>
    <xf numFmtId="164" fontId="4847" fillId="0" borderId="5183" xfId="0" applyNumberFormat="1" applyFont="1" applyBorder="1" applyAlignment="1">
      <alignment horizontal="right"/>
    </xf>
    <xf numFmtId="164" fontId="4735" fillId="0" borderId="5071" xfId="0" applyNumberFormat="1" applyFont="1" applyBorder="1" applyAlignment="1">
      <alignment horizontal="right"/>
    </xf>
    <xf numFmtId="164" fontId="4774" fillId="0" borderId="5110" xfId="0" applyNumberFormat="1" applyFont="1" applyBorder="1" applyAlignment="1">
      <alignment horizontal="right"/>
    </xf>
    <xf numFmtId="164" fontId="4811" fillId="0" borderId="5147" xfId="0" applyNumberFormat="1" applyFont="1" applyBorder="1" applyAlignment="1">
      <alignment horizontal="right"/>
    </xf>
    <xf numFmtId="164" fontId="4848" fillId="0" borderId="5184" xfId="0" applyNumberFormat="1" applyFont="1" applyBorder="1" applyAlignment="1">
      <alignment horizontal="right"/>
    </xf>
    <xf numFmtId="164" fontId="4736" fillId="0" borderId="5072" xfId="0" applyNumberFormat="1" applyFont="1" applyBorder="1" applyAlignment="1">
      <alignment horizontal="right"/>
    </xf>
    <xf numFmtId="164" fontId="4775" fillId="0" borderId="5111" xfId="0" applyNumberFormat="1" applyFont="1" applyBorder="1" applyAlignment="1">
      <alignment horizontal="right"/>
    </xf>
    <xf numFmtId="164" fontId="4812" fillId="0" borderId="5148" xfId="0" applyNumberFormat="1" applyFont="1" applyBorder="1" applyAlignment="1">
      <alignment horizontal="right"/>
    </xf>
    <xf numFmtId="164" fontId="4849" fillId="0" borderId="5185" xfId="0" applyNumberFormat="1" applyFont="1" applyBorder="1" applyAlignment="1">
      <alignment horizontal="right"/>
    </xf>
    <xf numFmtId="164" fontId="4737" fillId="0" borderId="5073" xfId="0" applyNumberFormat="1" applyFont="1" applyBorder="1" applyAlignment="1">
      <alignment horizontal="right"/>
    </xf>
    <xf numFmtId="164" fontId="4776" fillId="0" borderId="5112" xfId="0" applyNumberFormat="1" applyFont="1" applyBorder="1" applyAlignment="1">
      <alignment horizontal="right"/>
    </xf>
    <xf numFmtId="164" fontId="4813" fillId="0" borderId="5149" xfId="0" applyNumberFormat="1" applyFont="1" applyBorder="1" applyAlignment="1">
      <alignment horizontal="right"/>
    </xf>
    <xf numFmtId="164" fontId="4850" fillId="0" borderId="5186" xfId="0" applyNumberFormat="1" applyFont="1" applyBorder="1" applyAlignment="1">
      <alignment horizontal="right"/>
    </xf>
    <xf numFmtId="164" fontId="4738" fillId="0" borderId="5074" xfId="0" applyNumberFormat="1" applyFont="1" applyBorder="1" applyAlignment="1">
      <alignment horizontal="right"/>
    </xf>
    <xf numFmtId="164" fontId="4777" fillId="0" borderId="5113" xfId="0" applyNumberFormat="1" applyFont="1" applyBorder="1" applyAlignment="1">
      <alignment horizontal="right"/>
    </xf>
    <xf numFmtId="164" fontId="4814" fillId="0" borderId="5150" xfId="0" applyNumberFormat="1" applyFont="1" applyBorder="1" applyAlignment="1">
      <alignment horizontal="right"/>
    </xf>
    <xf numFmtId="164" fontId="4851" fillId="0" borderId="5187" xfId="0" applyNumberFormat="1" applyFont="1" applyBorder="1" applyAlignment="1">
      <alignment horizontal="right"/>
    </xf>
    <xf numFmtId="164" fontId="4739" fillId="0" borderId="5075" xfId="0" applyNumberFormat="1" applyFont="1" applyBorder="1" applyAlignment="1">
      <alignment horizontal="right"/>
    </xf>
    <xf numFmtId="164" fontId="4778" fillId="0" borderId="5114" xfId="0" applyNumberFormat="1" applyFont="1" applyBorder="1" applyAlignment="1">
      <alignment horizontal="right"/>
    </xf>
    <xf numFmtId="164" fontId="4815" fillId="0" borderId="5151" xfId="0" applyNumberFormat="1" applyFont="1" applyBorder="1" applyAlignment="1">
      <alignment horizontal="right"/>
    </xf>
    <xf numFmtId="164" fontId="4852" fillId="0" borderId="5188" xfId="0" applyNumberFormat="1" applyFont="1" applyBorder="1" applyAlignment="1">
      <alignment horizontal="right"/>
    </xf>
    <xf numFmtId="164" fontId="4740" fillId="0" borderId="5076" xfId="0" applyNumberFormat="1" applyFont="1" applyBorder="1" applyAlignment="1">
      <alignment horizontal="right"/>
    </xf>
    <xf numFmtId="164" fontId="4779" fillId="0" borderId="5115" xfId="0" applyNumberFormat="1" applyFont="1" applyBorder="1" applyAlignment="1">
      <alignment horizontal="right"/>
    </xf>
    <xf numFmtId="164" fontId="4816" fillId="0" borderId="5152" xfId="0" applyNumberFormat="1" applyFont="1" applyBorder="1" applyAlignment="1">
      <alignment horizontal="right"/>
    </xf>
    <xf numFmtId="164" fontId="4853" fillId="0" borderId="5189" xfId="0" applyNumberFormat="1" applyFont="1" applyBorder="1" applyAlignment="1">
      <alignment horizontal="right"/>
    </xf>
    <xf numFmtId="164" fontId="4721" fillId="0" borderId="5057" xfId="0" applyNumberFormat="1" applyFont="1" applyBorder="1" applyAlignment="1">
      <alignment horizontal="right"/>
    </xf>
    <xf numFmtId="164" fontId="4760" fillId="0" borderId="5096" xfId="0" applyNumberFormat="1" applyFont="1" applyBorder="1" applyAlignment="1">
      <alignment horizontal="right"/>
    </xf>
    <xf numFmtId="164" fontId="4799" fillId="0" borderId="5135" xfId="0" applyNumberFormat="1" applyFont="1" applyBorder="1" applyAlignment="1">
      <alignment horizontal="right"/>
    </xf>
    <xf numFmtId="164" fontId="4834" fillId="0" borderId="5170" xfId="0" applyNumberFormat="1" applyFont="1" applyBorder="1" applyAlignment="1">
      <alignment horizontal="right"/>
    </xf>
    <xf numFmtId="164" fontId="4746" fillId="0" borderId="5082" xfId="0" applyNumberFormat="1" applyFont="1" applyBorder="1" applyAlignment="1">
      <alignment horizontal="right"/>
    </xf>
    <xf numFmtId="164" fontId="4785" fillId="0" borderId="5121" xfId="0" applyNumberFormat="1" applyFont="1" applyBorder="1" applyAlignment="1">
      <alignment horizontal="right"/>
    </xf>
    <xf numFmtId="164" fontId="4820" fillId="0" borderId="5156" xfId="0" applyNumberFormat="1" applyFont="1" applyBorder="1" applyAlignment="1">
      <alignment horizontal="right"/>
    </xf>
    <xf numFmtId="164" fontId="4859" fillId="0" borderId="5195" xfId="0" applyNumberFormat="1" applyFont="1" applyBorder="1" applyAlignment="1">
      <alignment horizontal="right"/>
    </xf>
    <xf numFmtId="164" fontId="4747" fillId="0" borderId="5083" xfId="0" applyNumberFormat="1" applyFont="1" applyBorder="1" applyAlignment="1">
      <alignment horizontal="right"/>
    </xf>
    <xf numFmtId="164" fontId="4786" fillId="0" borderId="5122" xfId="0" applyNumberFormat="1" applyFont="1" applyBorder="1" applyAlignment="1">
      <alignment horizontal="right"/>
    </xf>
    <xf numFmtId="164" fontId="4821" fillId="0" borderId="5157" xfId="0" applyNumberFormat="1" applyFont="1" applyBorder="1" applyAlignment="1">
      <alignment horizontal="right"/>
    </xf>
    <xf numFmtId="164" fontId="4860" fillId="0" borderId="5196" xfId="0" applyNumberFormat="1" applyFont="1" applyBorder="1" applyAlignment="1">
      <alignment horizontal="right"/>
    </xf>
    <xf numFmtId="164" fontId="4748" fillId="0" borderId="5084" xfId="0" applyNumberFormat="1" applyFont="1" applyBorder="1" applyAlignment="1">
      <alignment horizontal="right"/>
    </xf>
    <xf numFmtId="164" fontId="4787" fillId="0" borderId="5123" xfId="0" applyNumberFormat="1" applyFont="1" applyBorder="1" applyAlignment="1">
      <alignment horizontal="right"/>
    </xf>
    <xf numFmtId="164" fontId="4822" fillId="0" borderId="5158" xfId="0" applyNumberFormat="1" applyFont="1" applyBorder="1" applyAlignment="1">
      <alignment horizontal="right"/>
    </xf>
    <xf numFmtId="164" fontId="4861" fillId="0" borderId="5197" xfId="0" applyNumberFormat="1" applyFont="1" applyBorder="1" applyAlignment="1">
      <alignment horizontal="right"/>
    </xf>
    <xf numFmtId="164" fontId="4749" fillId="0" borderId="5085" xfId="0" applyNumberFormat="1" applyFont="1" applyBorder="1" applyAlignment="1">
      <alignment horizontal="right"/>
    </xf>
    <xf numFmtId="164" fontId="4788" fillId="0" borderId="5124" xfId="0" applyNumberFormat="1" applyFont="1" applyBorder="1" applyAlignment="1">
      <alignment horizontal="right"/>
    </xf>
    <xf numFmtId="164" fontId="4823" fillId="0" borderId="5159" xfId="0" applyNumberFormat="1" applyFont="1" applyBorder="1" applyAlignment="1">
      <alignment horizontal="right"/>
    </xf>
    <xf numFmtId="164" fontId="4862" fillId="0" borderId="5198" xfId="0" applyNumberFormat="1" applyFont="1" applyBorder="1" applyAlignment="1">
      <alignment horizontal="right"/>
    </xf>
    <xf numFmtId="164" fontId="4750" fillId="0" borderId="5086" xfId="0" applyNumberFormat="1" applyFont="1" applyBorder="1" applyAlignment="1">
      <alignment horizontal="right"/>
    </xf>
    <xf numFmtId="164" fontId="4789" fillId="0" borderId="5125" xfId="0" applyNumberFormat="1" applyFont="1" applyBorder="1" applyAlignment="1">
      <alignment horizontal="right"/>
    </xf>
    <xf numFmtId="164" fontId="4824" fillId="0" borderId="5160" xfId="0" applyNumberFormat="1" applyFont="1" applyBorder="1" applyAlignment="1">
      <alignment horizontal="right"/>
    </xf>
    <xf numFmtId="164" fontId="4863" fillId="0" borderId="5199" xfId="0" applyNumberFormat="1" applyFont="1" applyBorder="1" applyAlignment="1">
      <alignment horizontal="right"/>
    </xf>
    <xf numFmtId="164" fontId="4751" fillId="0" borderId="5087" xfId="0" applyNumberFormat="1" applyFont="1" applyBorder="1" applyAlignment="1">
      <alignment horizontal="right"/>
    </xf>
    <xf numFmtId="164" fontId="4790" fillId="0" borderId="5126" xfId="0" applyNumberFormat="1" applyFont="1" applyBorder="1" applyAlignment="1">
      <alignment horizontal="right"/>
    </xf>
    <xf numFmtId="164" fontId="4825" fillId="0" borderId="5161" xfId="0" applyNumberFormat="1" applyFont="1" applyBorder="1" applyAlignment="1">
      <alignment horizontal="right"/>
    </xf>
    <xf numFmtId="164" fontId="4864" fillId="0" borderId="5200" xfId="0" applyNumberFormat="1" applyFont="1" applyBorder="1" applyAlignment="1">
      <alignment horizontal="right"/>
    </xf>
    <xf numFmtId="164" fontId="4752" fillId="0" borderId="5088" xfId="0" applyNumberFormat="1" applyFont="1" applyBorder="1" applyAlignment="1">
      <alignment horizontal="right"/>
    </xf>
    <xf numFmtId="164" fontId="4791" fillId="0" borderId="5127" xfId="0" applyNumberFormat="1" applyFont="1" applyBorder="1" applyAlignment="1">
      <alignment horizontal="right"/>
    </xf>
    <xf numFmtId="164" fontId="4826" fillId="0" borderId="5162" xfId="0" applyNumberFormat="1" applyFont="1" applyBorder="1" applyAlignment="1">
      <alignment horizontal="right"/>
    </xf>
    <xf numFmtId="164" fontId="4865" fillId="0" borderId="5201" xfId="0" applyNumberFormat="1" applyFont="1" applyBorder="1" applyAlignment="1">
      <alignment horizontal="right"/>
    </xf>
    <xf numFmtId="164" fontId="4753" fillId="0" borderId="5089" xfId="0" applyNumberFormat="1" applyFont="1" applyBorder="1" applyAlignment="1">
      <alignment horizontal="right"/>
    </xf>
    <xf numFmtId="164" fontId="4792" fillId="0" borderId="5128" xfId="0" applyNumberFormat="1" applyFont="1" applyBorder="1" applyAlignment="1">
      <alignment horizontal="right"/>
    </xf>
    <xf numFmtId="164" fontId="4827" fillId="0" borderId="5163" xfId="0" applyNumberFormat="1" applyFont="1" applyBorder="1" applyAlignment="1">
      <alignment horizontal="right"/>
    </xf>
    <xf numFmtId="164" fontId="4866" fillId="0" borderId="5202" xfId="0" applyNumberFormat="1" applyFont="1" applyBorder="1" applyAlignment="1">
      <alignment horizontal="right"/>
    </xf>
    <xf numFmtId="164" fontId="4754" fillId="0" borderId="5090" xfId="0" applyNumberFormat="1" applyFont="1" applyBorder="1" applyAlignment="1">
      <alignment horizontal="right"/>
    </xf>
    <xf numFmtId="164" fontId="4793" fillId="0" borderId="5129" xfId="0" applyNumberFormat="1" applyFont="1" applyBorder="1" applyAlignment="1">
      <alignment horizontal="right"/>
    </xf>
    <xf numFmtId="164" fontId="4828" fillId="0" borderId="5164" xfId="0" applyNumberFormat="1" applyFont="1" applyBorder="1" applyAlignment="1">
      <alignment horizontal="right"/>
    </xf>
    <xf numFmtId="164" fontId="4867" fillId="0" borderId="5203" xfId="0" applyNumberFormat="1" applyFont="1" applyBorder="1" applyAlignment="1">
      <alignment horizontal="right"/>
    </xf>
    <xf numFmtId="164" fontId="4755" fillId="0" borderId="5091" xfId="0" applyNumberFormat="1" applyFont="1" applyBorder="1" applyAlignment="1">
      <alignment horizontal="right"/>
    </xf>
    <xf numFmtId="164" fontId="4794" fillId="0" borderId="5130" xfId="0" applyNumberFormat="1" applyFont="1" applyBorder="1" applyAlignment="1">
      <alignment horizontal="right"/>
    </xf>
    <xf numFmtId="164" fontId="4829" fillId="0" borderId="5165" xfId="0" applyNumberFormat="1" applyFont="1" applyBorder="1" applyAlignment="1">
      <alignment horizontal="right"/>
    </xf>
    <xf numFmtId="164" fontId="4868" fillId="0" borderId="5204" xfId="0" applyNumberFormat="1" applyFont="1" applyBorder="1" applyAlignment="1">
      <alignment horizontal="right"/>
    </xf>
    <xf numFmtId="164" fontId="4756" fillId="0" borderId="5092" xfId="0" applyNumberFormat="1" applyFont="1" applyBorder="1" applyAlignment="1">
      <alignment horizontal="right"/>
    </xf>
    <xf numFmtId="164" fontId="4795" fillId="0" borderId="5131" xfId="0" applyNumberFormat="1" applyFont="1" applyBorder="1" applyAlignment="1">
      <alignment horizontal="right"/>
    </xf>
    <xf numFmtId="164" fontId="4830" fillId="0" borderId="5166" xfId="0" applyNumberFormat="1" applyFont="1" applyBorder="1" applyAlignment="1">
      <alignment horizontal="right"/>
    </xf>
    <xf numFmtId="164" fontId="4869" fillId="0" borderId="5205" xfId="0" applyNumberFormat="1" applyFont="1" applyBorder="1" applyAlignment="1">
      <alignment horizontal="right"/>
    </xf>
    <xf numFmtId="164" fontId="4757" fillId="0" borderId="5093" xfId="0" applyNumberFormat="1" applyFont="1" applyBorder="1" applyAlignment="1">
      <alignment horizontal="right"/>
    </xf>
    <xf numFmtId="164" fontId="4796" fillId="0" borderId="5132" xfId="0" applyNumberFormat="1" applyFont="1" applyBorder="1" applyAlignment="1">
      <alignment horizontal="right"/>
    </xf>
    <xf numFmtId="164" fontId="4831" fillId="0" borderId="5167" xfId="0" applyNumberFormat="1" applyFont="1" applyBorder="1" applyAlignment="1">
      <alignment horizontal="right"/>
    </xf>
    <xf numFmtId="164" fontId="4870" fillId="0" borderId="5206" xfId="0" applyNumberFormat="1" applyFont="1" applyBorder="1" applyAlignment="1">
      <alignment horizontal="right"/>
    </xf>
    <xf numFmtId="164" fontId="4758" fillId="0" borderId="5094" xfId="0" applyNumberFormat="1" applyFont="1" applyBorder="1" applyAlignment="1">
      <alignment horizontal="right"/>
    </xf>
    <xf numFmtId="164" fontId="4797" fillId="0" borderId="5133" xfId="0" applyNumberFormat="1" applyFont="1" applyBorder="1" applyAlignment="1">
      <alignment horizontal="right"/>
    </xf>
    <xf numFmtId="164" fontId="4832" fillId="0" borderId="5168" xfId="0" applyNumberFormat="1" applyFont="1" applyBorder="1" applyAlignment="1">
      <alignment horizontal="right"/>
    </xf>
    <xf numFmtId="164" fontId="4871" fillId="0" borderId="5207" xfId="0" applyNumberFormat="1" applyFont="1" applyBorder="1" applyAlignment="1">
      <alignment horizontal="right"/>
    </xf>
    <xf numFmtId="164" fontId="4759" fillId="0" borderId="5095" xfId="0" applyNumberFormat="1" applyFont="1" applyBorder="1" applyAlignment="1">
      <alignment horizontal="right"/>
    </xf>
    <xf numFmtId="164" fontId="4798" fillId="0" borderId="5134" xfId="0" applyNumberFormat="1" applyFont="1" applyBorder="1" applyAlignment="1">
      <alignment horizontal="right"/>
    </xf>
    <xf numFmtId="164" fontId="4833" fillId="0" borderId="5169" xfId="0" applyNumberFormat="1" applyFont="1" applyBorder="1" applyAlignment="1">
      <alignment horizontal="right"/>
    </xf>
    <xf numFmtId="164" fontId="4872" fillId="0" borderId="5208" xfId="0" applyNumberFormat="1" applyFont="1" applyBorder="1" applyAlignment="1">
      <alignment horizontal="right"/>
    </xf>
    <xf numFmtId="164" fontId="4722" fillId="0" borderId="5058" xfId="0" applyNumberFormat="1" applyFont="1" applyBorder="1" applyAlignment="1">
      <alignment horizontal="right"/>
    </xf>
    <xf numFmtId="164" fontId="4761" fillId="0" borderId="5097" xfId="0" applyNumberFormat="1" applyFont="1" applyBorder="1" applyAlignment="1">
      <alignment horizontal="right"/>
    </xf>
    <xf numFmtId="164" fontId="4800" fillId="0" borderId="5136" xfId="0" applyNumberFormat="1" applyFont="1" applyBorder="1" applyAlignment="1">
      <alignment horizontal="right"/>
    </xf>
    <xf numFmtId="164" fontId="4835" fillId="0" borderId="5171" xfId="0" applyNumberFormat="1" applyFont="1" applyBorder="1" applyAlignment="1">
      <alignment horizontal="right"/>
    </xf>
    <xf numFmtId="164" fontId="1331" fillId="0" borderId="1443" xfId="0" applyNumberFormat="1" applyFont="1" applyBorder="1" applyAlignment="1">
      <alignment horizontal="right"/>
    </xf>
    <xf numFmtId="164" fontId="1416" fillId="0" borderId="1535" xfId="0" applyNumberFormat="1" applyFont="1" applyBorder="1" applyAlignment="1">
      <alignment horizontal="right"/>
    </xf>
    <xf numFmtId="164" fontId="1499" fillId="0" borderId="1625" xfId="0" applyNumberFormat="1" applyFont="1" applyBorder="1" applyAlignment="1">
      <alignment horizontal="right"/>
    </xf>
    <xf numFmtId="164" fontId="1576" fillId="0" borderId="1709" xfId="0" applyNumberFormat="1" applyFont="1" applyBorder="1" applyAlignment="1">
      <alignment horizontal="right"/>
    </xf>
    <xf numFmtId="164" fontId="1332" fillId="0" borderId="1444" xfId="0" applyNumberFormat="1" applyFont="1" applyBorder="1" applyAlignment="1">
      <alignment horizontal="right"/>
    </xf>
    <xf numFmtId="164" fontId="1417" fillId="0" borderId="1536" xfId="0" applyNumberFormat="1" applyFont="1" applyBorder="1" applyAlignment="1">
      <alignment horizontal="right"/>
    </xf>
    <xf numFmtId="164" fontId="1500" fillId="0" borderId="1626" xfId="0" applyNumberFormat="1" applyFont="1" applyBorder="1" applyAlignment="1">
      <alignment horizontal="right"/>
    </xf>
    <xf numFmtId="164" fontId="1577" fillId="0" borderId="1710" xfId="0" applyNumberFormat="1" applyFont="1" applyBorder="1" applyAlignment="1">
      <alignment horizontal="right"/>
    </xf>
    <xf numFmtId="164" fontId="1333" fillId="0" borderId="1445" xfId="0" applyNumberFormat="1" applyFont="1" applyBorder="1" applyAlignment="1">
      <alignment horizontal="right"/>
    </xf>
    <xf numFmtId="164" fontId="1418" fillId="0" borderId="1537" xfId="0" applyNumberFormat="1" applyFont="1" applyBorder="1" applyAlignment="1">
      <alignment horizontal="right"/>
    </xf>
    <xf numFmtId="164" fontId="1501" fillId="0" borderId="1627" xfId="0" applyNumberFormat="1" applyFont="1" applyBorder="1" applyAlignment="1">
      <alignment horizontal="right"/>
    </xf>
    <xf numFmtId="164" fontId="1578" fillId="0" borderId="1711" xfId="0" applyNumberFormat="1" applyFont="1" applyBorder="1" applyAlignment="1">
      <alignment horizontal="right"/>
    </xf>
    <xf numFmtId="164" fontId="1334" fillId="0" borderId="1446" xfId="0" applyNumberFormat="1" applyFont="1" applyBorder="1" applyAlignment="1">
      <alignment horizontal="right"/>
    </xf>
    <xf numFmtId="164" fontId="1419" fillId="0" borderId="1538" xfId="0" applyNumberFormat="1" applyFont="1" applyBorder="1" applyAlignment="1">
      <alignment horizontal="right"/>
    </xf>
    <xf numFmtId="164" fontId="1502" fillId="0" borderId="1628" xfId="0" applyNumberFormat="1" applyFont="1" applyBorder="1" applyAlignment="1">
      <alignment horizontal="right"/>
    </xf>
    <xf numFmtId="164" fontId="1579" fillId="0" borderId="1712" xfId="0" applyNumberFormat="1" applyFont="1" applyBorder="1" applyAlignment="1">
      <alignment horizontal="right"/>
    </xf>
    <xf numFmtId="164" fontId="1335" fillId="0" borderId="1447" xfId="0" applyNumberFormat="1" applyFont="1" applyBorder="1" applyAlignment="1">
      <alignment horizontal="right"/>
    </xf>
    <xf numFmtId="164" fontId="1420" fillId="0" borderId="1539" xfId="0" applyNumberFormat="1" applyFont="1" applyBorder="1" applyAlignment="1">
      <alignment horizontal="right"/>
    </xf>
    <xf numFmtId="164" fontId="1503" fillId="0" borderId="1629" xfId="0" applyNumberFormat="1" applyFont="1" applyBorder="1" applyAlignment="1">
      <alignment horizontal="right"/>
    </xf>
    <xf numFmtId="164" fontId="1580" fillId="0" borderId="1713" xfId="0" applyNumberFormat="1" applyFont="1" applyBorder="1" applyAlignment="1">
      <alignment horizontal="right"/>
    </xf>
    <xf numFmtId="164" fontId="1336" fillId="0" borderId="1448" xfId="0" applyNumberFormat="1" applyFont="1" applyBorder="1" applyAlignment="1">
      <alignment horizontal="right"/>
    </xf>
    <xf numFmtId="164" fontId="1421" fillId="0" borderId="1540" xfId="0" applyNumberFormat="1" applyFont="1" applyBorder="1" applyAlignment="1">
      <alignment horizontal="right"/>
    </xf>
    <xf numFmtId="164" fontId="1504" fillId="0" borderId="1630" xfId="0" applyNumberFormat="1" applyFont="1" applyBorder="1" applyAlignment="1">
      <alignment horizontal="right"/>
    </xf>
    <xf numFmtId="164" fontId="1581" fillId="0" borderId="1714" xfId="0" applyNumberFormat="1" applyFont="1" applyBorder="1" applyAlignment="1">
      <alignment horizontal="right"/>
    </xf>
    <xf numFmtId="164" fontId="1337" fillId="0" borderId="1449" xfId="0" applyNumberFormat="1" applyFont="1" applyBorder="1" applyAlignment="1">
      <alignment horizontal="right"/>
    </xf>
    <xf numFmtId="164" fontId="1422" fillId="0" borderId="1541" xfId="0" applyNumberFormat="1" applyFont="1" applyBorder="1" applyAlignment="1">
      <alignment horizontal="right"/>
    </xf>
    <xf numFmtId="164" fontId="1505" fillId="0" borderId="1631" xfId="0" applyNumberFormat="1" applyFont="1" applyBorder="1" applyAlignment="1">
      <alignment horizontal="right"/>
    </xf>
    <xf numFmtId="164" fontId="1582" fillId="0" borderId="1715" xfId="0" applyNumberFormat="1" applyFont="1" applyBorder="1" applyAlignment="1">
      <alignment horizontal="right"/>
    </xf>
    <xf numFmtId="164" fontId="1338" fillId="0" borderId="1450" xfId="0" applyNumberFormat="1" applyFont="1" applyBorder="1" applyAlignment="1">
      <alignment horizontal="right"/>
    </xf>
    <xf numFmtId="164" fontId="1423" fillId="0" borderId="1542" xfId="0" applyNumberFormat="1" applyFont="1" applyBorder="1" applyAlignment="1">
      <alignment horizontal="right"/>
    </xf>
    <xf numFmtId="164" fontId="1506" fillId="0" borderId="1632" xfId="0" applyNumberFormat="1" applyFont="1" applyBorder="1" applyAlignment="1">
      <alignment horizontal="right"/>
    </xf>
    <xf numFmtId="164" fontId="1583" fillId="0" borderId="1716" xfId="0" applyNumberFormat="1" applyFont="1" applyBorder="1" applyAlignment="1">
      <alignment horizontal="right"/>
    </xf>
    <xf numFmtId="164" fontId="1339" fillId="0" borderId="1451" xfId="0" applyNumberFormat="1" applyFont="1" applyBorder="1" applyAlignment="1">
      <alignment horizontal="right"/>
    </xf>
    <xf numFmtId="164" fontId="1424" fillId="0" borderId="1543" xfId="0" applyNumberFormat="1" applyFont="1" applyBorder="1" applyAlignment="1">
      <alignment horizontal="right"/>
    </xf>
    <xf numFmtId="164" fontId="1507" fillId="0" borderId="1633" xfId="0" applyNumberFormat="1" applyFont="1" applyBorder="1" applyAlignment="1">
      <alignment horizontal="right"/>
    </xf>
    <xf numFmtId="164" fontId="1584" fillId="0" borderId="1717" xfId="0" applyNumberFormat="1" applyFont="1" applyBorder="1" applyAlignment="1">
      <alignment horizontal="right"/>
    </xf>
    <xf numFmtId="164" fontId="1340" fillId="0" borderId="1452" xfId="0" applyNumberFormat="1" applyFont="1" applyBorder="1" applyAlignment="1">
      <alignment horizontal="right"/>
    </xf>
    <xf numFmtId="164" fontId="1425" fillId="0" borderId="1544" xfId="0" applyNumberFormat="1" applyFont="1" applyBorder="1" applyAlignment="1">
      <alignment horizontal="right"/>
    </xf>
    <xf numFmtId="164" fontId="1508" fillId="0" borderId="1634" xfId="0" applyNumberFormat="1" applyFont="1" applyBorder="1" applyAlignment="1">
      <alignment horizontal="right"/>
    </xf>
    <xf numFmtId="164" fontId="1585" fillId="0" borderId="1718" xfId="0" applyNumberFormat="1" applyFont="1" applyBorder="1" applyAlignment="1">
      <alignment horizontal="right"/>
    </xf>
    <xf numFmtId="164" fontId="1341" fillId="0" borderId="1453" xfId="0" applyNumberFormat="1" applyFont="1" applyBorder="1" applyAlignment="1">
      <alignment horizontal="right"/>
    </xf>
    <xf numFmtId="164" fontId="1426" fillId="0" borderId="1545" xfId="0" applyNumberFormat="1" applyFont="1" applyBorder="1" applyAlignment="1">
      <alignment horizontal="right"/>
    </xf>
    <xf numFmtId="164" fontId="1509" fillId="0" borderId="1635" xfId="0" applyNumberFormat="1" applyFont="1" applyBorder="1" applyAlignment="1">
      <alignment horizontal="right"/>
    </xf>
    <xf numFmtId="164" fontId="1586" fillId="0" borderId="1719" xfId="0" applyNumberFormat="1" applyFont="1" applyBorder="1" applyAlignment="1">
      <alignment horizontal="right"/>
    </xf>
    <xf numFmtId="164" fontId="1342" fillId="0" borderId="1454" xfId="0" applyNumberFormat="1" applyFont="1" applyBorder="1" applyAlignment="1">
      <alignment horizontal="right"/>
    </xf>
    <xf numFmtId="164" fontId="1427" fillId="0" borderId="1546" xfId="0" applyNumberFormat="1" applyFont="1" applyBorder="1" applyAlignment="1">
      <alignment horizontal="right"/>
    </xf>
    <xf numFmtId="164" fontId="1510" fillId="0" borderId="1636" xfId="0" applyNumberFormat="1" applyFont="1" applyBorder="1" applyAlignment="1">
      <alignment horizontal="right"/>
    </xf>
    <xf numFmtId="164" fontId="1587" fillId="0" borderId="1720" xfId="0" applyNumberFormat="1" applyFont="1" applyBorder="1" applyAlignment="1">
      <alignment horizontal="right"/>
    </xf>
    <xf numFmtId="164" fontId="1343" fillId="0" borderId="1455" xfId="0" applyNumberFormat="1" applyFont="1" applyBorder="1" applyAlignment="1">
      <alignment horizontal="right"/>
    </xf>
    <xf numFmtId="164" fontId="1428" fillId="0" borderId="1547" xfId="0" applyNumberFormat="1" applyFont="1" applyBorder="1" applyAlignment="1">
      <alignment horizontal="right"/>
    </xf>
    <xf numFmtId="164" fontId="1511" fillId="0" borderId="1637" xfId="0" applyNumberFormat="1" applyFont="1" applyBorder="1" applyAlignment="1">
      <alignment horizontal="right"/>
    </xf>
    <xf numFmtId="164" fontId="1588" fillId="0" borderId="1721" xfId="0" applyNumberFormat="1" applyFont="1" applyBorder="1" applyAlignment="1">
      <alignment horizontal="right"/>
    </xf>
    <xf numFmtId="164" fontId="1344" fillId="0" borderId="1456" xfId="0" applyNumberFormat="1" applyFont="1" applyBorder="1" applyAlignment="1">
      <alignment horizontal="right"/>
    </xf>
    <xf numFmtId="164" fontId="1429" fillId="0" borderId="1548" xfId="0" applyNumberFormat="1" applyFont="1" applyBorder="1" applyAlignment="1">
      <alignment horizontal="right"/>
    </xf>
    <xf numFmtId="164" fontId="1512" fillId="0" borderId="1638" xfId="0" applyNumberFormat="1" applyFont="1" applyBorder="1" applyAlignment="1">
      <alignment horizontal="right"/>
    </xf>
    <xf numFmtId="164" fontId="1589" fillId="0" borderId="1722" xfId="0" applyNumberFormat="1" applyFont="1" applyBorder="1" applyAlignment="1">
      <alignment horizontal="right"/>
    </xf>
    <xf numFmtId="164" fontId="1345" fillId="0" borderId="1457" xfId="0" applyNumberFormat="1" applyFont="1" applyBorder="1" applyAlignment="1">
      <alignment horizontal="right"/>
    </xf>
    <xf numFmtId="164" fontId="1430" fillId="0" borderId="1549" xfId="0" applyNumberFormat="1" applyFont="1" applyBorder="1" applyAlignment="1">
      <alignment horizontal="right"/>
    </xf>
    <xf numFmtId="164" fontId="1513" fillId="0" borderId="1639" xfId="0" applyNumberFormat="1" applyFont="1" applyBorder="1" applyAlignment="1">
      <alignment horizontal="right"/>
    </xf>
    <xf numFmtId="164" fontId="1590" fillId="0" borderId="1723" xfId="0" applyNumberFormat="1" applyFont="1" applyBorder="1" applyAlignment="1">
      <alignment horizontal="right"/>
    </xf>
    <xf numFmtId="164" fontId="1321" fillId="0" borderId="1433" xfId="0" applyNumberFormat="1" applyFont="1" applyBorder="1" applyAlignment="1">
      <alignment horizontal="right"/>
    </xf>
    <xf numFmtId="164" fontId="1406" fillId="0" borderId="1525" xfId="0" applyNumberFormat="1" applyFont="1" applyBorder="1" applyAlignment="1">
      <alignment horizontal="right"/>
    </xf>
    <xf numFmtId="164" fontId="1491" fillId="0" borderId="1617" xfId="0" applyNumberFormat="1" applyFont="1" applyBorder="1" applyAlignment="1">
      <alignment horizontal="right"/>
    </xf>
    <xf numFmtId="164" fontId="1566" fillId="0" borderId="1699" xfId="0" applyNumberFormat="1" applyFont="1" applyBorder="1" applyAlignment="1">
      <alignment horizontal="right"/>
    </xf>
    <xf numFmtId="164" fontId="1351" fillId="0" borderId="1463" xfId="0" applyNumberFormat="1" applyFont="1" applyBorder="1" applyAlignment="1">
      <alignment horizontal="right"/>
    </xf>
    <xf numFmtId="164" fontId="1436" fillId="0" borderId="1555" xfId="0" applyNumberFormat="1" applyFont="1" applyBorder="1" applyAlignment="1">
      <alignment horizontal="right"/>
    </xf>
    <xf numFmtId="164" fontId="1517" fillId="0" borderId="1643" xfId="0" applyNumberFormat="1" applyFont="1" applyBorder="1" applyAlignment="1">
      <alignment horizontal="right"/>
    </xf>
    <xf numFmtId="164" fontId="1596" fillId="0" borderId="1729" xfId="0" applyNumberFormat="1" applyFont="1" applyBorder="1" applyAlignment="1">
      <alignment horizontal="right"/>
    </xf>
    <xf numFmtId="164" fontId="1352" fillId="0" borderId="1464" xfId="0" applyNumberFormat="1" applyFont="1" applyBorder="1" applyAlignment="1">
      <alignment horizontal="right"/>
    </xf>
    <xf numFmtId="164" fontId="1437" fillId="0" borderId="1556" xfId="0" applyNumberFormat="1" applyFont="1" applyBorder="1" applyAlignment="1">
      <alignment horizontal="right"/>
    </xf>
    <xf numFmtId="164" fontId="1518" fillId="0" borderId="1644" xfId="0" applyNumberFormat="1" applyFont="1" applyBorder="1" applyAlignment="1">
      <alignment horizontal="right"/>
    </xf>
    <xf numFmtId="164" fontId="1597" fillId="0" borderId="1730" xfId="0" applyNumberFormat="1" applyFont="1" applyBorder="1" applyAlignment="1">
      <alignment horizontal="right"/>
    </xf>
    <xf numFmtId="164" fontId="1353" fillId="0" borderId="1465" xfId="0" applyNumberFormat="1" applyFont="1" applyBorder="1" applyAlignment="1">
      <alignment horizontal="right"/>
    </xf>
    <xf numFmtId="164" fontId="1438" fillId="0" borderId="1557" xfId="0" applyNumberFormat="1" applyFont="1" applyBorder="1" applyAlignment="1">
      <alignment horizontal="right"/>
    </xf>
    <xf numFmtId="164" fontId="1519" fillId="0" borderId="1645" xfId="0" applyNumberFormat="1" applyFont="1" applyBorder="1" applyAlignment="1">
      <alignment horizontal="right"/>
    </xf>
    <xf numFmtId="164" fontId="1598" fillId="0" borderId="1731" xfId="0" applyNumberFormat="1" applyFont="1" applyBorder="1" applyAlignment="1">
      <alignment horizontal="right"/>
    </xf>
    <xf numFmtId="164" fontId="1354" fillId="0" borderId="1466" xfId="0" applyNumberFormat="1" applyFont="1" applyBorder="1" applyAlignment="1">
      <alignment horizontal="right"/>
    </xf>
    <xf numFmtId="164" fontId="1439" fillId="0" borderId="1558" xfId="0" applyNumberFormat="1" applyFont="1" applyBorder="1" applyAlignment="1">
      <alignment horizontal="right"/>
    </xf>
    <xf numFmtId="164" fontId="1520" fillId="0" borderId="1646" xfId="0" applyNumberFormat="1" applyFont="1" applyBorder="1" applyAlignment="1">
      <alignment horizontal="right"/>
    </xf>
    <xf numFmtId="164" fontId="1599" fillId="0" borderId="1732" xfId="0" applyNumberFormat="1" applyFont="1" applyBorder="1" applyAlignment="1">
      <alignment horizontal="right"/>
    </xf>
    <xf numFmtId="164" fontId="1355" fillId="0" borderId="1467" xfId="0" applyNumberFormat="1" applyFont="1" applyBorder="1" applyAlignment="1">
      <alignment horizontal="right"/>
    </xf>
    <xf numFmtId="164" fontId="1440" fillId="0" borderId="1559" xfId="0" applyNumberFormat="1" applyFont="1" applyBorder="1" applyAlignment="1">
      <alignment horizontal="right"/>
    </xf>
    <xf numFmtId="164" fontId="1521" fillId="0" borderId="1647" xfId="0" applyNumberFormat="1" applyFont="1" applyBorder="1" applyAlignment="1">
      <alignment horizontal="right"/>
    </xf>
    <xf numFmtId="164" fontId="1600" fillId="0" borderId="1733" xfId="0" applyNumberFormat="1" applyFont="1" applyBorder="1" applyAlignment="1">
      <alignment horizontal="right"/>
    </xf>
    <xf numFmtId="164" fontId="1356" fillId="0" borderId="1468" xfId="0" applyNumberFormat="1" applyFont="1" applyBorder="1" applyAlignment="1">
      <alignment horizontal="right"/>
    </xf>
    <xf numFmtId="164" fontId="1441" fillId="0" borderId="1560" xfId="0" applyNumberFormat="1" applyFont="1" applyBorder="1" applyAlignment="1">
      <alignment horizontal="right"/>
    </xf>
    <xf numFmtId="164" fontId="1522" fillId="0" borderId="1648" xfId="0" applyNumberFormat="1" applyFont="1" applyBorder="1" applyAlignment="1">
      <alignment horizontal="right"/>
    </xf>
    <xf numFmtId="164" fontId="1601" fillId="0" borderId="1734" xfId="0" applyNumberFormat="1" applyFont="1" applyBorder="1" applyAlignment="1">
      <alignment horizontal="right"/>
    </xf>
    <xf numFmtId="164" fontId="1357" fillId="0" borderId="1469" xfId="0" applyNumberFormat="1" applyFont="1" applyBorder="1" applyAlignment="1">
      <alignment horizontal="right"/>
    </xf>
    <xf numFmtId="164" fontId="1442" fillId="0" borderId="1561" xfId="0" applyNumberFormat="1" applyFont="1" applyBorder="1" applyAlignment="1">
      <alignment horizontal="right"/>
    </xf>
    <xf numFmtId="164" fontId="1523" fillId="0" borderId="1649" xfId="0" applyNumberFormat="1" applyFont="1" applyBorder="1" applyAlignment="1">
      <alignment horizontal="right"/>
    </xf>
    <xf numFmtId="164" fontId="1602" fillId="0" borderId="1735" xfId="0" applyNumberFormat="1" applyFont="1" applyBorder="1" applyAlignment="1">
      <alignment horizontal="right"/>
    </xf>
    <xf numFmtId="164" fontId="1358" fillId="0" borderId="1470" xfId="0" applyNumberFormat="1" applyFont="1" applyBorder="1" applyAlignment="1">
      <alignment horizontal="right"/>
    </xf>
    <xf numFmtId="164" fontId="1443" fillId="0" borderId="1562" xfId="0" applyNumberFormat="1" applyFont="1" applyBorder="1" applyAlignment="1">
      <alignment horizontal="right"/>
    </xf>
    <xf numFmtId="164" fontId="1524" fillId="0" borderId="1650" xfId="0" applyNumberFormat="1" applyFont="1" applyBorder="1" applyAlignment="1">
      <alignment horizontal="right"/>
    </xf>
    <xf numFmtId="164" fontId="1603" fillId="0" borderId="1736" xfId="0" applyNumberFormat="1" applyFont="1" applyBorder="1" applyAlignment="1">
      <alignment horizontal="right"/>
    </xf>
    <xf numFmtId="164" fontId="1359" fillId="0" borderId="1471" xfId="0" applyNumberFormat="1" applyFont="1" applyBorder="1" applyAlignment="1">
      <alignment horizontal="right"/>
    </xf>
    <xf numFmtId="164" fontId="1444" fillId="0" borderId="1563" xfId="0" applyNumberFormat="1" applyFont="1" applyBorder="1" applyAlignment="1">
      <alignment horizontal="right"/>
    </xf>
    <xf numFmtId="164" fontId="1525" fillId="0" borderId="1651" xfId="0" applyNumberFormat="1" applyFont="1" applyBorder="1" applyAlignment="1">
      <alignment horizontal="right"/>
    </xf>
    <xf numFmtId="164" fontId="1604" fillId="0" borderId="1737" xfId="0" applyNumberFormat="1" applyFont="1" applyBorder="1" applyAlignment="1">
      <alignment horizontal="right"/>
    </xf>
    <xf numFmtId="164" fontId="1360" fillId="0" borderId="1472" xfId="0" applyNumberFormat="1" applyFont="1" applyBorder="1" applyAlignment="1">
      <alignment horizontal="right"/>
    </xf>
    <xf numFmtId="164" fontId="1445" fillId="0" borderId="1564" xfId="0" applyNumberFormat="1" applyFont="1" applyBorder="1" applyAlignment="1">
      <alignment horizontal="right"/>
    </xf>
    <xf numFmtId="164" fontId="1526" fillId="0" borderId="1652" xfId="0" applyNumberFormat="1" applyFont="1" applyBorder="1" applyAlignment="1">
      <alignment horizontal="right"/>
    </xf>
    <xf numFmtId="164" fontId="1605" fillId="0" borderId="1738" xfId="0" applyNumberFormat="1" applyFont="1" applyBorder="1" applyAlignment="1">
      <alignment horizontal="right"/>
    </xf>
    <xf numFmtId="164" fontId="1361" fillId="0" borderId="1473" xfId="0" applyNumberFormat="1" applyFont="1" applyBorder="1" applyAlignment="1">
      <alignment horizontal="right"/>
    </xf>
    <xf numFmtId="164" fontId="1446" fillId="0" borderId="1565" xfId="0" applyNumberFormat="1" applyFont="1" applyBorder="1" applyAlignment="1">
      <alignment horizontal="right"/>
    </xf>
    <xf numFmtId="164" fontId="1527" fillId="0" borderId="1653" xfId="0" applyNumberFormat="1" applyFont="1" applyBorder="1" applyAlignment="1">
      <alignment horizontal="right"/>
    </xf>
    <xf numFmtId="164" fontId="1606" fillId="0" borderId="1739" xfId="0" applyNumberFormat="1" applyFont="1" applyBorder="1" applyAlignment="1">
      <alignment horizontal="right"/>
    </xf>
    <xf numFmtId="164" fontId="1362" fillId="0" borderId="1474" xfId="0" applyNumberFormat="1" applyFont="1" applyBorder="1" applyAlignment="1">
      <alignment horizontal="right"/>
    </xf>
    <xf numFmtId="164" fontId="1447" fillId="0" borderId="1566" xfId="0" applyNumberFormat="1" applyFont="1" applyBorder="1" applyAlignment="1">
      <alignment horizontal="right"/>
    </xf>
    <xf numFmtId="164" fontId="1528" fillId="0" borderId="1654" xfId="0" applyNumberFormat="1" applyFont="1" applyBorder="1" applyAlignment="1">
      <alignment horizontal="right"/>
    </xf>
    <xf numFmtId="164" fontId="1607" fillId="0" borderId="1740" xfId="0" applyNumberFormat="1" applyFont="1" applyBorder="1" applyAlignment="1">
      <alignment horizontal="right"/>
    </xf>
    <xf numFmtId="164" fontId="1363" fillId="0" borderId="1475" xfId="0" applyNumberFormat="1" applyFont="1" applyBorder="1" applyAlignment="1">
      <alignment horizontal="right"/>
    </xf>
    <xf numFmtId="164" fontId="1448" fillId="0" borderId="1567" xfId="0" applyNumberFormat="1" applyFont="1" applyBorder="1" applyAlignment="1">
      <alignment horizontal="right"/>
    </xf>
    <xf numFmtId="164" fontId="1529" fillId="0" borderId="1655" xfId="0" applyNumberFormat="1" applyFont="1" applyBorder="1" applyAlignment="1">
      <alignment horizontal="right"/>
    </xf>
    <xf numFmtId="164" fontId="1608" fillId="0" borderId="1741" xfId="0" applyNumberFormat="1" applyFont="1" applyBorder="1" applyAlignment="1">
      <alignment horizontal="right"/>
    </xf>
    <xf numFmtId="164" fontId="1364" fillId="0" borderId="1476" xfId="0" applyNumberFormat="1" applyFont="1" applyBorder="1" applyAlignment="1">
      <alignment horizontal="right"/>
    </xf>
    <xf numFmtId="164" fontId="1449" fillId="0" borderId="1568" xfId="0" applyNumberFormat="1" applyFont="1" applyBorder="1" applyAlignment="1">
      <alignment horizontal="right"/>
    </xf>
    <xf numFmtId="164" fontId="1530" fillId="0" borderId="1656" xfId="0" applyNumberFormat="1" applyFont="1" applyBorder="1" applyAlignment="1">
      <alignment horizontal="right"/>
    </xf>
    <xf numFmtId="164" fontId="1609" fillId="0" borderId="1742" xfId="0" applyNumberFormat="1" applyFont="1" applyBorder="1" applyAlignment="1">
      <alignment horizontal="right"/>
    </xf>
    <xf numFmtId="164" fontId="1365" fillId="0" borderId="1477" xfId="0" applyNumberFormat="1" applyFont="1" applyBorder="1" applyAlignment="1">
      <alignment horizontal="right"/>
    </xf>
    <xf numFmtId="164" fontId="1450" fillId="0" borderId="1569" xfId="0" applyNumberFormat="1" applyFont="1" applyBorder="1" applyAlignment="1">
      <alignment horizontal="right"/>
    </xf>
    <xf numFmtId="164" fontId="1531" fillId="0" borderId="1657" xfId="0" applyNumberFormat="1" applyFont="1" applyBorder="1" applyAlignment="1">
      <alignment horizontal="right"/>
    </xf>
    <xf numFmtId="164" fontId="1610" fillId="0" borderId="1743" xfId="0" applyNumberFormat="1" applyFont="1" applyBorder="1" applyAlignment="1">
      <alignment horizontal="right"/>
    </xf>
    <xf numFmtId="164" fontId="1322" fillId="0" borderId="1434" xfId="0" applyNumberFormat="1" applyFont="1" applyBorder="1" applyAlignment="1">
      <alignment horizontal="right"/>
    </xf>
    <xf numFmtId="164" fontId="1407" fillId="0" borderId="1526" xfId="0" applyNumberFormat="1" applyFont="1" applyBorder="1" applyAlignment="1">
      <alignment horizontal="right"/>
    </xf>
    <xf numFmtId="164" fontId="1492" fillId="0" borderId="1618" xfId="0" applyNumberFormat="1" applyFont="1" applyBorder="1" applyAlignment="1">
      <alignment horizontal="right"/>
    </xf>
    <xf numFmtId="164" fontId="1567" fillId="0" borderId="1700" xfId="0" applyNumberFormat="1" applyFont="1" applyBorder="1" applyAlignment="1">
      <alignment horizontal="right"/>
    </xf>
    <xf numFmtId="164" fontId="1371" fillId="0" borderId="1483" xfId="0" applyNumberFormat="1" applyFont="1" applyBorder="1" applyAlignment="1">
      <alignment horizontal="right"/>
    </xf>
    <xf numFmtId="164" fontId="1456" fillId="0" borderId="1575" xfId="0" applyNumberFormat="1" applyFont="1" applyBorder="1" applyAlignment="1">
      <alignment horizontal="right"/>
    </xf>
    <xf numFmtId="164" fontId="1535" fillId="0" borderId="1661" xfId="0" applyNumberFormat="1" applyFont="1" applyBorder="1" applyAlignment="1">
      <alignment horizontal="right"/>
    </xf>
    <xf numFmtId="164" fontId="1616" fillId="0" borderId="1749" xfId="0" applyNumberFormat="1" applyFont="1" applyBorder="1" applyAlignment="1">
      <alignment horizontal="right"/>
    </xf>
    <xf numFmtId="164" fontId="1372" fillId="0" borderId="1484" xfId="0" applyNumberFormat="1" applyFont="1" applyBorder="1" applyAlignment="1">
      <alignment horizontal="right"/>
    </xf>
    <xf numFmtId="164" fontId="1457" fillId="0" borderId="1576" xfId="0" applyNumberFormat="1" applyFont="1" applyBorder="1" applyAlignment="1">
      <alignment horizontal="right"/>
    </xf>
    <xf numFmtId="164" fontId="1536" fillId="0" borderId="1662" xfId="0" applyNumberFormat="1" applyFont="1" applyBorder="1" applyAlignment="1">
      <alignment horizontal="right"/>
    </xf>
    <xf numFmtId="164" fontId="1617" fillId="0" borderId="1750" xfId="0" applyNumberFormat="1" applyFont="1" applyBorder="1" applyAlignment="1">
      <alignment horizontal="right"/>
    </xf>
    <xf numFmtId="164" fontId="1373" fillId="0" borderId="1485" xfId="0" applyNumberFormat="1" applyFont="1" applyBorder="1" applyAlignment="1">
      <alignment horizontal="right"/>
    </xf>
    <xf numFmtId="164" fontId="1458" fillId="0" borderId="1577" xfId="0" applyNumberFormat="1" applyFont="1" applyBorder="1" applyAlignment="1">
      <alignment horizontal="right"/>
    </xf>
    <xf numFmtId="164" fontId="1537" fillId="0" borderId="1663" xfId="0" applyNumberFormat="1" applyFont="1" applyBorder="1" applyAlignment="1">
      <alignment horizontal="right"/>
    </xf>
    <xf numFmtId="164" fontId="1618" fillId="0" borderId="1751" xfId="0" applyNumberFormat="1" applyFont="1" applyBorder="1" applyAlignment="1">
      <alignment horizontal="right"/>
    </xf>
    <xf numFmtId="164" fontId="1374" fillId="0" borderId="1486" xfId="0" applyNumberFormat="1" applyFont="1" applyBorder="1" applyAlignment="1">
      <alignment horizontal="right"/>
    </xf>
    <xf numFmtId="164" fontId="1459" fillId="0" borderId="1578" xfId="0" applyNumberFormat="1" applyFont="1" applyBorder="1" applyAlignment="1">
      <alignment horizontal="right"/>
    </xf>
    <xf numFmtId="164" fontId="1538" fillId="0" borderId="1664" xfId="0" applyNumberFormat="1" applyFont="1" applyBorder="1" applyAlignment="1">
      <alignment horizontal="right"/>
    </xf>
    <xf numFmtId="164" fontId="1619" fillId="0" borderId="1752" xfId="0" applyNumberFormat="1" applyFont="1" applyBorder="1" applyAlignment="1">
      <alignment horizontal="right"/>
    </xf>
    <xf numFmtId="164" fontId="1375" fillId="0" borderId="1487" xfId="0" applyNumberFormat="1" applyFont="1" applyBorder="1" applyAlignment="1">
      <alignment horizontal="right"/>
    </xf>
    <xf numFmtId="164" fontId="1460" fillId="0" borderId="1579" xfId="0" applyNumberFormat="1" applyFont="1" applyBorder="1" applyAlignment="1">
      <alignment horizontal="right"/>
    </xf>
    <xf numFmtId="164" fontId="1539" fillId="0" borderId="1665" xfId="0" applyNumberFormat="1" applyFont="1" applyBorder="1" applyAlignment="1">
      <alignment horizontal="right"/>
    </xf>
    <xf numFmtId="164" fontId="1620" fillId="0" borderId="1753" xfId="0" applyNumberFormat="1" applyFont="1" applyBorder="1" applyAlignment="1">
      <alignment horizontal="right"/>
    </xf>
    <xf numFmtId="164" fontId="1376" fillId="0" borderId="1488" xfId="0" applyNumberFormat="1" applyFont="1" applyBorder="1" applyAlignment="1">
      <alignment horizontal="right"/>
    </xf>
    <xf numFmtId="164" fontId="1461" fillId="0" borderId="1580" xfId="0" applyNumberFormat="1" applyFont="1" applyBorder="1" applyAlignment="1">
      <alignment horizontal="right"/>
    </xf>
    <xf numFmtId="164" fontId="1540" fillId="0" borderId="1666" xfId="0" applyNumberFormat="1" applyFont="1" applyBorder="1" applyAlignment="1">
      <alignment horizontal="right"/>
    </xf>
    <xf numFmtId="164" fontId="1621" fillId="0" borderId="1754" xfId="0" applyNumberFormat="1" applyFont="1" applyBorder="1" applyAlignment="1">
      <alignment horizontal="right"/>
    </xf>
    <xf numFmtId="164" fontId="1377" fillId="0" borderId="1489" xfId="0" applyNumberFormat="1" applyFont="1" applyBorder="1" applyAlignment="1">
      <alignment horizontal="right"/>
    </xf>
    <xf numFmtId="164" fontId="1462" fillId="0" borderId="1581" xfId="0" applyNumberFormat="1" applyFont="1" applyBorder="1" applyAlignment="1">
      <alignment horizontal="right"/>
    </xf>
    <xf numFmtId="164" fontId="1541" fillId="0" borderId="1667" xfId="0" applyNumberFormat="1" applyFont="1" applyBorder="1" applyAlignment="1">
      <alignment horizontal="right"/>
    </xf>
    <xf numFmtId="164" fontId="1622" fillId="0" borderId="1755" xfId="0" applyNumberFormat="1" applyFont="1" applyBorder="1" applyAlignment="1">
      <alignment horizontal="right"/>
    </xf>
    <xf numFmtId="164" fontId="1378" fillId="0" borderId="1490" xfId="0" applyNumberFormat="1" applyFont="1" applyBorder="1" applyAlignment="1">
      <alignment horizontal="right"/>
    </xf>
    <xf numFmtId="164" fontId="1463" fillId="0" borderId="1582" xfId="0" applyNumberFormat="1" applyFont="1" applyBorder="1" applyAlignment="1">
      <alignment horizontal="right"/>
    </xf>
    <xf numFmtId="164" fontId="1542" fillId="0" borderId="1668" xfId="0" applyNumberFormat="1" applyFont="1" applyBorder="1" applyAlignment="1">
      <alignment horizontal="right"/>
    </xf>
    <xf numFmtId="164" fontId="1623" fillId="0" borderId="1756" xfId="0" applyNumberFormat="1" applyFont="1" applyBorder="1" applyAlignment="1">
      <alignment horizontal="right"/>
    </xf>
    <xf numFmtId="164" fontId="1379" fillId="0" borderId="1491" xfId="0" applyNumberFormat="1" applyFont="1" applyBorder="1" applyAlignment="1">
      <alignment horizontal="right"/>
    </xf>
    <xf numFmtId="164" fontId="1464" fillId="0" borderId="1583" xfId="0" applyNumberFormat="1" applyFont="1" applyBorder="1" applyAlignment="1">
      <alignment horizontal="right"/>
    </xf>
    <xf numFmtId="164" fontId="1543" fillId="0" borderId="1669" xfId="0" applyNumberFormat="1" applyFont="1" applyBorder="1" applyAlignment="1">
      <alignment horizontal="right"/>
    </xf>
    <xf numFmtId="164" fontId="1624" fillId="0" borderId="1757" xfId="0" applyNumberFormat="1" applyFont="1" applyBorder="1" applyAlignment="1">
      <alignment horizontal="right"/>
    </xf>
    <xf numFmtId="164" fontId="1380" fillId="0" borderId="1492" xfId="0" applyNumberFormat="1" applyFont="1" applyBorder="1" applyAlignment="1">
      <alignment horizontal="right"/>
    </xf>
    <xf numFmtId="164" fontId="1465" fillId="0" borderId="1584" xfId="0" applyNumberFormat="1" applyFont="1" applyBorder="1" applyAlignment="1">
      <alignment horizontal="right"/>
    </xf>
    <xf numFmtId="164" fontId="1544" fillId="0" borderId="1670" xfId="0" applyNumberFormat="1" applyFont="1" applyBorder="1" applyAlignment="1">
      <alignment horizontal="right"/>
    </xf>
    <xf numFmtId="164" fontId="1625" fillId="0" borderId="1758" xfId="0" applyNumberFormat="1" applyFont="1" applyBorder="1" applyAlignment="1">
      <alignment horizontal="right"/>
    </xf>
    <xf numFmtId="164" fontId="1381" fillId="0" borderId="1493" xfId="0" applyNumberFormat="1" applyFont="1" applyBorder="1" applyAlignment="1">
      <alignment horizontal="right"/>
    </xf>
    <xf numFmtId="164" fontId="1466" fillId="0" borderId="1585" xfId="0" applyNumberFormat="1" applyFont="1" applyBorder="1" applyAlignment="1">
      <alignment horizontal="right"/>
    </xf>
    <xf numFmtId="164" fontId="1545" fillId="0" borderId="1671" xfId="0" applyNumberFormat="1" applyFont="1" applyBorder="1" applyAlignment="1">
      <alignment horizontal="right"/>
    </xf>
    <xf numFmtId="164" fontId="1626" fillId="0" borderId="1759" xfId="0" applyNumberFormat="1" applyFont="1" applyBorder="1" applyAlignment="1">
      <alignment horizontal="right"/>
    </xf>
    <xf numFmtId="164" fontId="1382" fillId="0" borderId="1494" xfId="0" applyNumberFormat="1" applyFont="1" applyBorder="1" applyAlignment="1">
      <alignment horizontal="right"/>
    </xf>
    <xf numFmtId="164" fontId="1467" fillId="0" borderId="1586" xfId="0" applyNumberFormat="1" applyFont="1" applyBorder="1" applyAlignment="1">
      <alignment horizontal="right"/>
    </xf>
    <xf numFmtId="164" fontId="1546" fillId="0" borderId="1672" xfId="0" applyNumberFormat="1" applyFont="1" applyBorder="1" applyAlignment="1">
      <alignment horizontal="right"/>
    </xf>
    <xf numFmtId="164" fontId="1627" fillId="0" borderId="1760" xfId="0" applyNumberFormat="1" applyFont="1" applyBorder="1" applyAlignment="1">
      <alignment horizontal="right"/>
    </xf>
    <xf numFmtId="164" fontId="1383" fillId="0" borderId="1495" xfId="0" applyNumberFormat="1" applyFont="1" applyBorder="1" applyAlignment="1">
      <alignment horizontal="right"/>
    </xf>
    <xf numFmtId="164" fontId="1468" fillId="0" borderId="1587" xfId="0" applyNumberFormat="1" applyFont="1" applyBorder="1" applyAlignment="1">
      <alignment horizontal="right"/>
    </xf>
    <xf numFmtId="164" fontId="1547" fillId="0" borderId="1673" xfId="0" applyNumberFormat="1" applyFont="1" applyBorder="1" applyAlignment="1">
      <alignment horizontal="right"/>
    </xf>
    <xf numFmtId="164" fontId="1628" fillId="0" borderId="1761" xfId="0" applyNumberFormat="1" applyFont="1" applyBorder="1" applyAlignment="1">
      <alignment horizontal="right"/>
    </xf>
    <xf numFmtId="164" fontId="1384" fillId="0" borderId="1496" xfId="0" applyNumberFormat="1" applyFont="1" applyBorder="1" applyAlignment="1">
      <alignment horizontal="right"/>
    </xf>
    <xf numFmtId="164" fontId="1469" fillId="0" borderId="1588" xfId="0" applyNumberFormat="1" applyFont="1" applyBorder="1" applyAlignment="1">
      <alignment horizontal="right"/>
    </xf>
    <xf numFmtId="164" fontId="1548" fillId="0" borderId="1674" xfId="0" applyNumberFormat="1" applyFont="1" applyBorder="1" applyAlignment="1">
      <alignment horizontal="right"/>
    </xf>
    <xf numFmtId="164" fontId="1629" fillId="0" borderId="1762" xfId="0" applyNumberFormat="1" applyFont="1" applyBorder="1" applyAlignment="1">
      <alignment horizontal="right"/>
    </xf>
    <xf numFmtId="164" fontId="1323" fillId="0" borderId="1435" xfId="0" applyNumberFormat="1" applyFont="1" applyBorder="1" applyAlignment="1">
      <alignment horizontal="right"/>
    </xf>
    <xf numFmtId="164" fontId="1408" fillId="0" borderId="1527" xfId="0" applyNumberFormat="1" applyFont="1" applyBorder="1" applyAlignment="1">
      <alignment horizontal="right"/>
    </xf>
    <xf numFmtId="164" fontId="1493" fillId="0" borderId="1619" xfId="0" applyNumberFormat="1" applyFont="1" applyBorder="1" applyAlignment="1">
      <alignment horizontal="right"/>
    </xf>
    <xf numFmtId="164" fontId="1568" fillId="0" borderId="1701" xfId="0" applyNumberFormat="1" applyFont="1" applyBorder="1" applyAlignment="1">
      <alignment horizontal="right"/>
    </xf>
    <xf numFmtId="164" fontId="1390" fillId="0" borderId="1502" xfId="0" applyNumberFormat="1" applyFont="1" applyBorder="1" applyAlignment="1">
      <alignment horizontal="right"/>
    </xf>
    <xf numFmtId="164" fontId="1475" fillId="0" borderId="1594" xfId="0" applyNumberFormat="1" applyFont="1" applyBorder="1" applyAlignment="1">
      <alignment horizontal="right"/>
    </xf>
    <xf numFmtId="164" fontId="1552" fillId="0" borderId="1678" xfId="0" applyNumberFormat="1" applyFont="1" applyBorder="1" applyAlignment="1">
      <alignment horizontal="right"/>
    </xf>
    <xf numFmtId="164" fontId="1635" fillId="0" borderId="1768" xfId="0" applyNumberFormat="1" applyFont="1" applyBorder="1" applyAlignment="1">
      <alignment horizontal="right"/>
    </xf>
    <xf numFmtId="164" fontId="1391" fillId="0" borderId="1503" xfId="0" applyNumberFormat="1" applyFont="1" applyBorder="1" applyAlignment="1">
      <alignment horizontal="right"/>
    </xf>
    <xf numFmtId="164" fontId="1476" fillId="0" borderId="1595" xfId="0" applyNumberFormat="1" applyFont="1" applyBorder="1" applyAlignment="1">
      <alignment horizontal="right"/>
    </xf>
    <xf numFmtId="164" fontId="1553" fillId="0" borderId="1679" xfId="0" applyNumberFormat="1" applyFont="1" applyBorder="1" applyAlignment="1">
      <alignment horizontal="right"/>
    </xf>
    <xf numFmtId="164" fontId="1636" fillId="0" borderId="1769" xfId="0" applyNumberFormat="1" applyFont="1" applyBorder="1" applyAlignment="1">
      <alignment horizontal="right"/>
    </xf>
    <xf numFmtId="164" fontId="1392" fillId="0" borderId="1504" xfId="0" applyNumberFormat="1" applyFont="1" applyBorder="1" applyAlignment="1">
      <alignment horizontal="right"/>
    </xf>
    <xf numFmtId="164" fontId="1477" fillId="0" borderId="1596" xfId="0" applyNumberFormat="1" applyFont="1" applyBorder="1" applyAlignment="1">
      <alignment horizontal="right"/>
    </xf>
    <xf numFmtId="164" fontId="1554" fillId="0" borderId="1680" xfId="0" applyNumberFormat="1" applyFont="1" applyBorder="1" applyAlignment="1">
      <alignment horizontal="right"/>
    </xf>
    <xf numFmtId="164" fontId="1637" fillId="0" borderId="1770" xfId="0" applyNumberFormat="1" applyFont="1" applyBorder="1" applyAlignment="1">
      <alignment horizontal="right"/>
    </xf>
    <xf numFmtId="164" fontId="1393" fillId="0" borderId="1505" xfId="0" applyNumberFormat="1" applyFont="1" applyBorder="1" applyAlignment="1">
      <alignment horizontal="right"/>
    </xf>
    <xf numFmtId="164" fontId="1478" fillId="0" borderId="1597" xfId="0" applyNumberFormat="1" applyFont="1" applyBorder="1" applyAlignment="1">
      <alignment horizontal="right"/>
    </xf>
    <xf numFmtId="164" fontId="1555" fillId="0" borderId="1681" xfId="0" applyNumberFormat="1" applyFont="1" applyBorder="1" applyAlignment="1">
      <alignment horizontal="right"/>
    </xf>
    <xf numFmtId="164" fontId="1638" fillId="0" borderId="1771" xfId="0" applyNumberFormat="1" applyFont="1" applyBorder="1" applyAlignment="1">
      <alignment horizontal="right"/>
    </xf>
    <xf numFmtId="164" fontId="1394" fillId="0" borderId="1506" xfId="0" applyNumberFormat="1" applyFont="1" applyBorder="1" applyAlignment="1">
      <alignment horizontal="right"/>
    </xf>
    <xf numFmtId="164" fontId="1479" fillId="0" borderId="1598" xfId="0" applyNumberFormat="1" applyFont="1" applyBorder="1" applyAlignment="1">
      <alignment horizontal="right"/>
    </xf>
    <xf numFmtId="164" fontId="1556" fillId="0" borderId="1682" xfId="0" applyNumberFormat="1" applyFont="1" applyBorder="1" applyAlignment="1">
      <alignment horizontal="right"/>
    </xf>
    <xf numFmtId="164" fontId="1639" fillId="0" borderId="1772" xfId="0" applyNumberFormat="1" applyFont="1" applyBorder="1" applyAlignment="1">
      <alignment horizontal="right"/>
    </xf>
    <xf numFmtId="164" fontId="1395" fillId="0" borderId="1507" xfId="0" applyNumberFormat="1" applyFont="1" applyBorder="1" applyAlignment="1">
      <alignment horizontal="right"/>
    </xf>
    <xf numFmtId="164" fontId="1480" fillId="0" borderId="1599" xfId="0" applyNumberFormat="1" applyFont="1" applyBorder="1" applyAlignment="1">
      <alignment horizontal="right"/>
    </xf>
    <xf numFmtId="164" fontId="1557" fillId="0" borderId="1683" xfId="0" applyNumberFormat="1" applyFont="1" applyBorder="1" applyAlignment="1">
      <alignment horizontal="right"/>
    </xf>
    <xf numFmtId="164" fontId="1640" fillId="0" borderId="1773" xfId="0" applyNumberFormat="1" applyFont="1" applyBorder="1" applyAlignment="1">
      <alignment horizontal="right"/>
    </xf>
    <xf numFmtId="164" fontId="1" fillId="0" borderId="1508" xfId="0" applyNumberFormat="1" applyFont="1" applyBorder="1" applyAlignment="1">
      <alignment horizontal="right"/>
    </xf>
    <xf numFmtId="164" fontId="1" fillId="0" borderId="1600" xfId="0" applyNumberFormat="1" applyFont="1" applyBorder="1" applyAlignment="1">
      <alignment horizontal="right"/>
    </xf>
    <xf numFmtId="164" fontId="1" fillId="0" borderId="1684" xfId="0" applyNumberFormat="1" applyFont="1" applyBorder="1" applyAlignment="1">
      <alignment horizontal="right"/>
    </xf>
    <xf numFmtId="164" fontId="1" fillId="0" borderId="1774" xfId="0" applyNumberFormat="1" applyFont="1" applyBorder="1" applyAlignment="1">
      <alignment horizontal="right"/>
    </xf>
    <xf numFmtId="164" fontId="1" fillId="0" borderId="1509" xfId="0" applyNumberFormat="1" applyFont="1" applyBorder="1" applyAlignment="1">
      <alignment horizontal="right"/>
    </xf>
    <xf numFmtId="164" fontId="1" fillId="0" borderId="1601" xfId="0" applyNumberFormat="1" applyFont="1" applyBorder="1" applyAlignment="1">
      <alignment horizontal="right"/>
    </xf>
    <xf numFmtId="164" fontId="1" fillId="0" borderId="1685" xfId="0" applyNumberFormat="1" applyFont="1" applyBorder="1" applyAlignment="1">
      <alignment horizontal="right"/>
    </xf>
    <xf numFmtId="164" fontId="1" fillId="0" borderId="1775" xfId="0" applyNumberFormat="1" applyFont="1" applyBorder="1" applyAlignment="1">
      <alignment horizontal="right"/>
    </xf>
    <xf numFmtId="164" fontId="1" fillId="0" borderId="1510" xfId="0" applyNumberFormat="1" applyFont="1" applyBorder="1" applyAlignment="1">
      <alignment horizontal="right"/>
    </xf>
    <xf numFmtId="164" fontId="1" fillId="0" borderId="1602" xfId="0" applyNumberFormat="1" applyFont="1" applyBorder="1" applyAlignment="1">
      <alignment horizontal="right"/>
    </xf>
    <xf numFmtId="164" fontId="1" fillId="0" borderId="1686" xfId="0" applyNumberFormat="1" applyFont="1" applyBorder="1" applyAlignment="1">
      <alignment horizontal="right"/>
    </xf>
    <xf numFmtId="164" fontId="1" fillId="0" borderId="1776" xfId="0" applyNumberFormat="1" applyFont="1" applyBorder="1" applyAlignment="1">
      <alignment horizontal="right"/>
    </xf>
    <xf numFmtId="164" fontId="1" fillId="0" borderId="1511" xfId="0" applyNumberFormat="1" applyFont="1" applyBorder="1" applyAlignment="1">
      <alignment horizontal="right"/>
    </xf>
    <xf numFmtId="164" fontId="1" fillId="0" borderId="1603" xfId="0" applyNumberFormat="1" applyFont="1" applyBorder="1" applyAlignment="1">
      <alignment horizontal="right"/>
    </xf>
    <xf numFmtId="164" fontId="1" fillId="0" borderId="1687" xfId="0" applyNumberFormat="1" applyFont="1" applyBorder="1" applyAlignment="1">
      <alignment horizontal="right"/>
    </xf>
    <xf numFmtId="164" fontId="1" fillId="0" borderId="1777" xfId="0" applyNumberFormat="1" applyFont="1" applyBorder="1" applyAlignment="1">
      <alignment horizontal="right"/>
    </xf>
    <xf numFmtId="164" fontId="1" fillId="0" borderId="1512" xfId="0" applyNumberFormat="1" applyFont="1" applyBorder="1" applyAlignment="1">
      <alignment horizontal="right"/>
    </xf>
    <xf numFmtId="164" fontId="1" fillId="0" borderId="1604" xfId="0" applyNumberFormat="1" applyFont="1" applyBorder="1" applyAlignment="1">
      <alignment horizontal="right"/>
    </xf>
    <xf numFmtId="164" fontId="1" fillId="0" borderId="1688" xfId="0" applyNumberFormat="1" applyFont="1" applyBorder="1" applyAlignment="1">
      <alignment horizontal="right"/>
    </xf>
    <xf numFmtId="164" fontId="1" fillId="0" borderId="1778" xfId="0" applyNumberFormat="1" applyFont="1" applyBorder="1" applyAlignment="1">
      <alignment horizontal="right"/>
    </xf>
    <xf numFmtId="164" fontId="1" fillId="0" borderId="1513" xfId="0" applyNumberFormat="1" applyFont="1" applyBorder="1" applyAlignment="1">
      <alignment horizontal="right"/>
    </xf>
    <xf numFmtId="164" fontId="1" fillId="0" borderId="1605" xfId="0" applyNumberFormat="1" applyFont="1" applyBorder="1" applyAlignment="1">
      <alignment horizontal="right"/>
    </xf>
    <xf numFmtId="164" fontId="1" fillId="0" borderId="1689" xfId="0" applyNumberFormat="1" applyFont="1" applyBorder="1" applyAlignment="1">
      <alignment horizontal="right"/>
    </xf>
    <xf numFmtId="164" fontId="1" fillId="0" borderId="1779" xfId="0" applyNumberFormat="1" applyFont="1" applyBorder="1" applyAlignment="1">
      <alignment horizontal="right"/>
    </xf>
    <xf numFmtId="164" fontId="1" fillId="0" borderId="1514" xfId="0" applyNumberFormat="1" applyFont="1" applyBorder="1" applyAlignment="1">
      <alignment horizontal="right"/>
    </xf>
    <xf numFmtId="164" fontId="1" fillId="0" borderId="1606" xfId="0" applyNumberFormat="1" applyFont="1" applyBorder="1" applyAlignment="1">
      <alignment horizontal="right"/>
    </xf>
    <xf numFmtId="164" fontId="1" fillId="0" borderId="1690" xfId="0" applyNumberFormat="1" applyFont="1" applyBorder="1" applyAlignment="1">
      <alignment horizontal="right"/>
    </xf>
    <xf numFmtId="164" fontId="1" fillId="0" borderId="1780" xfId="0" applyNumberFormat="1" applyFont="1" applyBorder="1" applyAlignment="1">
      <alignment horizontal="right"/>
    </xf>
    <xf numFmtId="164" fontId="1396" fillId="0" borderId="1515" xfId="0" applyNumberFormat="1" applyFont="1" applyBorder="1" applyAlignment="1">
      <alignment horizontal="right"/>
    </xf>
    <xf numFmtId="164" fontId="1481" fillId="0" borderId="1607" xfId="0" applyNumberFormat="1" applyFont="1" applyBorder="1" applyAlignment="1">
      <alignment horizontal="right"/>
    </xf>
    <xf numFmtId="164" fontId="1558" fillId="0" borderId="1691" xfId="0" applyNumberFormat="1" applyFont="1" applyBorder="1" applyAlignment="1">
      <alignment horizontal="right"/>
    </xf>
    <xf numFmtId="164" fontId="1641" fillId="0" borderId="1781" xfId="0" applyNumberFormat="1" applyFont="1" applyBorder="1" applyAlignment="1">
      <alignment horizontal="right"/>
    </xf>
    <xf numFmtId="164" fontId="1324" fillId="0" borderId="1436" xfId="0" applyNumberFormat="1" applyFont="1" applyBorder="1" applyAlignment="1">
      <alignment horizontal="right"/>
    </xf>
    <xf numFmtId="164" fontId="1409" fillId="0" borderId="1528" xfId="0" applyNumberFormat="1" applyFont="1" applyBorder="1" applyAlignment="1">
      <alignment horizontal="right"/>
    </xf>
    <xf numFmtId="164" fontId="1494" fillId="0" borderId="1620" xfId="0" applyNumberFormat="1" applyFont="1" applyBorder="1" applyAlignment="1">
      <alignment horizontal="right"/>
    </xf>
    <xf numFmtId="164" fontId="1569" fillId="0" borderId="1702" xfId="0" applyNumberFormat="1" applyFont="1" applyBorder="1" applyAlignment="1">
      <alignment horizontal="right"/>
    </xf>
    <xf numFmtId="164" fontId="1402" fillId="0" borderId="1521" xfId="0" applyNumberFormat="1" applyFont="1" applyBorder="1" applyAlignment="1">
      <alignment horizontal="right"/>
    </xf>
    <xf numFmtId="164" fontId="1487" fillId="0" borderId="1613" xfId="0" applyNumberFormat="1" applyFont="1" applyBorder="1" applyAlignment="1">
      <alignment horizontal="right"/>
    </xf>
    <xf numFmtId="164" fontId="1562" fillId="0" borderId="1695" xfId="0" applyNumberFormat="1" applyFont="1" applyBorder="1" applyAlignment="1">
      <alignment horizontal="right"/>
    </xf>
    <xf numFmtId="164" fontId="1647" fillId="0" borderId="1787" xfId="0" applyNumberFormat="1" applyFont="1" applyBorder="1" applyAlignment="1">
      <alignment horizontal="right"/>
    </xf>
    <xf numFmtId="164" fontId="1403" fillId="0" borderId="1522" xfId="0" applyNumberFormat="1" applyFont="1" applyBorder="1" applyAlignment="1">
      <alignment horizontal="right"/>
    </xf>
    <xf numFmtId="164" fontId="1488" fillId="0" borderId="1614" xfId="0" applyNumberFormat="1" applyFont="1" applyBorder="1" applyAlignment="1">
      <alignment horizontal="right"/>
    </xf>
    <xf numFmtId="164" fontId="1563" fillId="0" borderId="1696" xfId="0" applyNumberFormat="1" applyFont="1" applyBorder="1" applyAlignment="1">
      <alignment horizontal="right"/>
    </xf>
    <xf numFmtId="164" fontId="1648" fillId="0" borderId="1788" xfId="0" applyNumberFormat="1" applyFont="1" applyBorder="1" applyAlignment="1">
      <alignment horizontal="right"/>
    </xf>
    <xf numFmtId="164" fontId="1404" fillId="0" borderId="1523" xfId="0" applyNumberFormat="1" applyFont="1" applyBorder="1" applyAlignment="1">
      <alignment horizontal="right"/>
    </xf>
    <xf numFmtId="164" fontId="1489" fillId="0" borderId="1615" xfId="0" applyNumberFormat="1" applyFont="1" applyBorder="1" applyAlignment="1">
      <alignment horizontal="right"/>
    </xf>
    <xf numFmtId="164" fontId="1564" fillId="0" borderId="1697" xfId="0" applyNumberFormat="1" applyFont="1" applyBorder="1" applyAlignment="1">
      <alignment horizontal="right"/>
    </xf>
    <xf numFmtId="164" fontId="1649" fillId="0" borderId="1789" xfId="0" applyNumberFormat="1" applyFont="1" applyBorder="1" applyAlignment="1">
      <alignment horizontal="right"/>
    </xf>
    <xf numFmtId="164" fontId="1405" fillId="0" borderId="1524" xfId="0" applyNumberFormat="1" applyFont="1" applyBorder="1" applyAlignment="1">
      <alignment horizontal="right"/>
    </xf>
    <xf numFmtId="164" fontId="1490" fillId="0" borderId="1616" xfId="0" applyNumberFormat="1" applyFont="1" applyBorder="1" applyAlignment="1">
      <alignment horizontal="right"/>
    </xf>
    <xf numFmtId="164" fontId="1565" fillId="0" borderId="1698" xfId="0" applyNumberFormat="1" applyFont="1" applyBorder="1" applyAlignment="1">
      <alignment horizontal="right"/>
    </xf>
    <xf numFmtId="164" fontId="1650" fillId="0" borderId="1790" xfId="0" applyNumberFormat="1" applyFont="1" applyBorder="1" applyAlignment="1">
      <alignment horizontal="right"/>
    </xf>
    <xf numFmtId="164" fontId="1325" fillId="0" borderId="1437" xfId="0" applyNumberFormat="1" applyFont="1" applyBorder="1" applyAlignment="1">
      <alignment horizontal="right"/>
    </xf>
    <xf numFmtId="164" fontId="1410" fillId="0" borderId="1529" xfId="0" applyNumberFormat="1" applyFont="1" applyBorder="1" applyAlignment="1">
      <alignment horizontal="right"/>
    </xf>
    <xf numFmtId="164" fontId="1495" fillId="0" borderId="1621" xfId="0" applyNumberFormat="1" applyFont="1" applyBorder="1" applyAlignment="1">
      <alignment horizontal="right"/>
    </xf>
    <xf numFmtId="164" fontId="1570" fillId="0" borderId="1703" xfId="0" applyNumberFormat="1" applyFont="1" applyBorder="1" applyAlignment="1">
      <alignment horizontal="right"/>
    </xf>
    <xf numFmtId="164" fontId="4576" fillId="0" borderId="4912" xfId="0" applyNumberFormat="1" applyFont="1" applyBorder="1" applyAlignment="1">
      <alignment horizontal="right"/>
    </xf>
    <xf numFmtId="164" fontId="4615" fillId="0" borderId="4951" xfId="0" applyNumberFormat="1" applyFont="1" applyBorder="1" applyAlignment="1">
      <alignment horizontal="right"/>
    </xf>
    <xf numFmtId="164" fontId="4652" fillId="0" borderId="4988" xfId="0" applyNumberFormat="1" applyFont="1" applyBorder="1" applyAlignment="1">
      <alignment horizontal="right"/>
    </xf>
    <xf numFmtId="164" fontId="4689" fillId="0" borderId="5025" xfId="0" applyNumberFormat="1" applyFont="1" applyBorder="1" applyAlignment="1">
      <alignment horizontal="right"/>
    </xf>
    <xf numFmtId="164" fontId="4577" fillId="0" borderId="4913" xfId="0" applyNumberFormat="1" applyFont="1" applyBorder="1" applyAlignment="1">
      <alignment horizontal="right"/>
    </xf>
    <xf numFmtId="164" fontId="4616" fillId="0" borderId="4952" xfId="0" applyNumberFormat="1" applyFont="1" applyBorder="1" applyAlignment="1">
      <alignment horizontal="right"/>
    </xf>
    <xf numFmtId="164" fontId="4653" fillId="0" borderId="4989" xfId="0" applyNumberFormat="1" applyFont="1" applyBorder="1" applyAlignment="1">
      <alignment horizontal="right"/>
    </xf>
    <xf numFmtId="164" fontId="4690" fillId="0" borderId="5026" xfId="0" applyNumberFormat="1" applyFont="1" applyBorder="1" applyAlignment="1">
      <alignment horizontal="right"/>
    </xf>
    <xf numFmtId="164" fontId="4578" fillId="0" borderId="4914" xfId="0" applyNumberFormat="1" applyFont="1" applyBorder="1" applyAlignment="1">
      <alignment horizontal="right"/>
    </xf>
    <xf numFmtId="164" fontId="4617" fillId="0" borderId="4953" xfId="0" applyNumberFormat="1" applyFont="1" applyBorder="1" applyAlignment="1">
      <alignment horizontal="right"/>
    </xf>
    <xf numFmtId="164" fontId="4654" fillId="0" borderId="4990" xfId="0" applyNumberFormat="1" applyFont="1" applyBorder="1" applyAlignment="1">
      <alignment horizontal="right"/>
    </xf>
    <xf numFmtId="164" fontId="4691" fillId="0" borderId="5027" xfId="0" applyNumberFormat="1" applyFont="1" applyBorder="1" applyAlignment="1">
      <alignment horizontal="right"/>
    </xf>
    <xf numFmtId="164" fontId="4579" fillId="0" borderId="4915" xfId="0" applyNumberFormat="1" applyFont="1" applyBorder="1" applyAlignment="1">
      <alignment horizontal="right"/>
    </xf>
    <xf numFmtId="164" fontId="4618" fillId="0" borderId="4954" xfId="0" applyNumberFormat="1" applyFont="1" applyBorder="1" applyAlignment="1">
      <alignment horizontal="right"/>
    </xf>
    <xf numFmtId="164" fontId="4655" fillId="0" borderId="4991" xfId="0" applyNumberFormat="1" applyFont="1" applyBorder="1" applyAlignment="1">
      <alignment horizontal="right"/>
    </xf>
    <xf numFmtId="164" fontId="4692" fillId="0" borderId="5028" xfId="0" applyNumberFormat="1" applyFont="1" applyBorder="1" applyAlignment="1">
      <alignment horizontal="right"/>
    </xf>
    <xf numFmtId="164" fontId="4580" fillId="0" borderId="4916" xfId="0" applyNumberFormat="1" applyFont="1" applyBorder="1" applyAlignment="1">
      <alignment horizontal="right"/>
    </xf>
    <xf numFmtId="164" fontId="4619" fillId="0" borderId="4955" xfId="0" applyNumberFormat="1" applyFont="1" applyBorder="1" applyAlignment="1">
      <alignment horizontal="right"/>
    </xf>
    <xf numFmtId="164" fontId="4656" fillId="0" borderId="4992" xfId="0" applyNumberFormat="1" applyFont="1" applyBorder="1" applyAlignment="1">
      <alignment horizontal="right"/>
    </xf>
    <xf numFmtId="164" fontId="4693" fillId="0" borderId="5029" xfId="0" applyNumberFormat="1" applyFont="1" applyBorder="1" applyAlignment="1">
      <alignment horizontal="right"/>
    </xf>
    <xf numFmtId="164" fontId="4581" fillId="0" borderId="4917" xfId="0" applyNumberFormat="1" applyFont="1" applyBorder="1" applyAlignment="1">
      <alignment horizontal="right"/>
    </xf>
    <xf numFmtId="164" fontId="4620" fillId="0" borderId="4956" xfId="0" applyNumberFormat="1" applyFont="1" applyBorder="1" applyAlignment="1">
      <alignment horizontal="right"/>
    </xf>
    <xf numFmtId="164" fontId="4657" fillId="0" borderId="4993" xfId="0" applyNumberFormat="1" applyFont="1" applyBorder="1" applyAlignment="1">
      <alignment horizontal="right"/>
    </xf>
    <xf numFmtId="164" fontId="4694" fillId="0" borderId="5030" xfId="0" applyNumberFormat="1" applyFont="1" applyBorder="1" applyAlignment="1">
      <alignment horizontal="right"/>
    </xf>
    <xf numFmtId="164" fontId="4582" fillId="0" borderId="4918" xfId="0" applyNumberFormat="1" applyFont="1" applyBorder="1" applyAlignment="1">
      <alignment horizontal="right"/>
    </xf>
    <xf numFmtId="164" fontId="4621" fillId="0" borderId="4957" xfId="0" applyNumberFormat="1" applyFont="1" applyBorder="1" applyAlignment="1">
      <alignment horizontal="right"/>
    </xf>
    <xf numFmtId="164" fontId="4658" fillId="0" borderId="4994" xfId="0" applyNumberFormat="1" applyFont="1" applyBorder="1" applyAlignment="1">
      <alignment horizontal="right"/>
    </xf>
    <xf numFmtId="164" fontId="4695" fillId="0" borderId="5031" xfId="0" applyNumberFormat="1" applyFont="1" applyBorder="1" applyAlignment="1">
      <alignment horizontal="right"/>
    </xf>
    <xf numFmtId="164" fontId="4583" fillId="0" borderId="4919" xfId="0" applyNumberFormat="1" applyFont="1" applyBorder="1" applyAlignment="1">
      <alignment horizontal="right"/>
    </xf>
    <xf numFmtId="164" fontId="4622" fillId="0" borderId="4958" xfId="0" applyNumberFormat="1" applyFont="1" applyBorder="1" applyAlignment="1">
      <alignment horizontal="right"/>
    </xf>
    <xf numFmtId="164" fontId="4659" fillId="0" borderId="4995" xfId="0" applyNumberFormat="1" applyFont="1" applyBorder="1" applyAlignment="1">
      <alignment horizontal="right"/>
    </xf>
    <xf numFmtId="164" fontId="4696" fillId="0" borderId="5032" xfId="0" applyNumberFormat="1" applyFont="1" applyBorder="1" applyAlignment="1">
      <alignment horizontal="right"/>
    </xf>
    <xf numFmtId="164" fontId="4584" fillId="0" borderId="4920" xfId="0" applyNumberFormat="1" applyFont="1" applyBorder="1" applyAlignment="1">
      <alignment horizontal="right"/>
    </xf>
    <xf numFmtId="164" fontId="4623" fillId="0" borderId="4959" xfId="0" applyNumberFormat="1" applyFont="1" applyBorder="1" applyAlignment="1">
      <alignment horizontal="right"/>
    </xf>
    <xf numFmtId="164" fontId="4660" fillId="0" borderId="4996" xfId="0" applyNumberFormat="1" applyFont="1" applyBorder="1" applyAlignment="1">
      <alignment horizontal="right"/>
    </xf>
    <xf numFmtId="164" fontId="4697" fillId="0" borderId="5033" xfId="0" applyNumberFormat="1" applyFont="1" applyBorder="1" applyAlignment="1">
      <alignment horizontal="right"/>
    </xf>
    <xf numFmtId="164" fontId="4585" fillId="0" borderId="4921" xfId="0" applyNumberFormat="1" applyFont="1" applyBorder="1" applyAlignment="1">
      <alignment horizontal="right"/>
    </xf>
    <xf numFmtId="164" fontId="4624" fillId="0" borderId="4960" xfId="0" applyNumberFormat="1" applyFont="1" applyBorder="1" applyAlignment="1">
      <alignment horizontal="right"/>
    </xf>
    <xf numFmtId="164" fontId="4661" fillId="0" borderId="4997" xfId="0" applyNumberFormat="1" applyFont="1" applyBorder="1" applyAlignment="1">
      <alignment horizontal="right"/>
    </xf>
    <xf numFmtId="164" fontId="4698" fillId="0" borderId="5034" xfId="0" applyNumberFormat="1" applyFont="1" applyBorder="1" applyAlignment="1">
      <alignment horizontal="right"/>
    </xf>
    <xf numFmtId="164" fontId="4586" fillId="0" borderId="4922" xfId="0" applyNumberFormat="1" applyFont="1" applyBorder="1" applyAlignment="1">
      <alignment horizontal="right"/>
    </xf>
    <xf numFmtId="164" fontId="4625" fillId="0" borderId="4961" xfId="0" applyNumberFormat="1" applyFont="1" applyBorder="1" applyAlignment="1">
      <alignment horizontal="right"/>
    </xf>
    <xf numFmtId="164" fontId="4662" fillId="0" borderId="4998" xfId="0" applyNumberFormat="1" applyFont="1" applyBorder="1" applyAlignment="1">
      <alignment horizontal="right"/>
    </xf>
    <xf numFmtId="164" fontId="4699" fillId="0" borderId="5035" xfId="0" applyNumberFormat="1" applyFont="1" applyBorder="1" applyAlignment="1">
      <alignment horizontal="right"/>
    </xf>
    <xf numFmtId="164" fontId="4587" fillId="0" borderId="4923" xfId="0" applyNumberFormat="1" applyFont="1" applyBorder="1" applyAlignment="1">
      <alignment horizontal="right"/>
    </xf>
    <xf numFmtId="164" fontId="4626" fillId="0" borderId="4962" xfId="0" applyNumberFormat="1" applyFont="1" applyBorder="1" applyAlignment="1">
      <alignment horizontal="right"/>
    </xf>
    <xf numFmtId="164" fontId="4663" fillId="0" borderId="4999" xfId="0" applyNumberFormat="1" applyFont="1" applyBorder="1" applyAlignment="1">
      <alignment horizontal="right"/>
    </xf>
    <xf numFmtId="164" fontId="4700" fillId="0" borderId="5036" xfId="0" applyNumberFormat="1" applyFont="1" applyBorder="1" applyAlignment="1">
      <alignment horizontal="right"/>
    </xf>
    <xf numFmtId="164" fontId="4588" fillId="0" borderId="4924" xfId="0" applyNumberFormat="1" applyFont="1" applyBorder="1" applyAlignment="1">
      <alignment horizontal="right"/>
    </xf>
    <xf numFmtId="164" fontId="4627" fillId="0" borderId="4963" xfId="0" applyNumberFormat="1" applyFont="1" applyBorder="1" applyAlignment="1">
      <alignment horizontal="right"/>
    </xf>
    <xf numFmtId="164" fontId="4664" fillId="0" borderId="5000" xfId="0" applyNumberFormat="1" applyFont="1" applyBorder="1" applyAlignment="1">
      <alignment horizontal="right"/>
    </xf>
    <xf numFmtId="164" fontId="4701" fillId="0" borderId="5037" xfId="0" applyNumberFormat="1" applyFont="1" applyBorder="1" applyAlignment="1">
      <alignment horizontal="right"/>
    </xf>
    <xf numFmtId="164" fontId="4569" fillId="0" borderId="4905" xfId="0" applyNumberFormat="1" applyFont="1" applyBorder="1" applyAlignment="1">
      <alignment horizontal="right"/>
    </xf>
    <xf numFmtId="164" fontId="4608" fillId="0" borderId="4944" xfId="0" applyNumberFormat="1" applyFont="1" applyBorder="1" applyAlignment="1">
      <alignment horizontal="right"/>
    </xf>
    <xf numFmtId="164" fontId="4647" fillId="0" borderId="4983" xfId="0" applyNumberFormat="1" applyFont="1" applyBorder="1" applyAlignment="1">
      <alignment horizontal="right"/>
    </xf>
    <xf numFmtId="164" fontId="4682" fillId="0" borderId="5018" xfId="0" applyNumberFormat="1" applyFont="1" applyBorder="1" applyAlignment="1">
      <alignment horizontal="right"/>
    </xf>
    <xf numFmtId="164" fontId="4594" fillId="0" borderId="4930" xfId="0" applyNumberFormat="1" applyFont="1" applyBorder="1" applyAlignment="1">
      <alignment horizontal="right"/>
    </xf>
    <xf numFmtId="164" fontId="4633" fillId="0" borderId="4969" xfId="0" applyNumberFormat="1" applyFont="1" applyBorder="1" applyAlignment="1">
      <alignment horizontal="right"/>
    </xf>
    <xf numFmtId="164" fontId="4668" fillId="0" borderId="5004" xfId="0" applyNumberFormat="1" applyFont="1" applyBorder="1" applyAlignment="1">
      <alignment horizontal="right"/>
    </xf>
    <xf numFmtId="164" fontId="4707" fillId="0" borderId="5043" xfId="0" applyNumberFormat="1" applyFont="1" applyBorder="1" applyAlignment="1">
      <alignment horizontal="right"/>
    </xf>
    <xf numFmtId="164" fontId="4595" fillId="0" borderId="4931" xfId="0" applyNumberFormat="1" applyFont="1" applyBorder="1" applyAlignment="1">
      <alignment horizontal="right"/>
    </xf>
    <xf numFmtId="164" fontId="4634" fillId="0" borderId="4970" xfId="0" applyNumberFormat="1" applyFont="1" applyBorder="1" applyAlignment="1">
      <alignment horizontal="right"/>
    </xf>
    <xf numFmtId="164" fontId="4669" fillId="0" borderId="5005" xfId="0" applyNumberFormat="1" applyFont="1" applyBorder="1" applyAlignment="1">
      <alignment horizontal="right"/>
    </xf>
    <xf numFmtId="164" fontId="4708" fillId="0" borderId="5044" xfId="0" applyNumberFormat="1" applyFont="1" applyBorder="1" applyAlignment="1">
      <alignment horizontal="right"/>
    </xf>
    <xf numFmtId="164" fontId="4596" fillId="0" borderId="4932" xfId="0" applyNumberFormat="1" applyFont="1" applyBorder="1" applyAlignment="1">
      <alignment horizontal="right"/>
    </xf>
    <xf numFmtId="164" fontId="4635" fillId="0" borderId="4971" xfId="0" applyNumberFormat="1" applyFont="1" applyBorder="1" applyAlignment="1">
      <alignment horizontal="right"/>
    </xf>
    <xf numFmtId="164" fontId="4670" fillId="0" borderId="5006" xfId="0" applyNumberFormat="1" applyFont="1" applyBorder="1" applyAlignment="1">
      <alignment horizontal="right"/>
    </xf>
    <xf numFmtId="164" fontId="4709" fillId="0" borderId="5045" xfId="0" applyNumberFormat="1" applyFont="1" applyBorder="1" applyAlignment="1">
      <alignment horizontal="right"/>
    </xf>
    <xf numFmtId="164" fontId="4597" fillId="0" borderId="4933" xfId="0" applyNumberFormat="1" applyFont="1" applyBorder="1" applyAlignment="1">
      <alignment horizontal="right"/>
    </xf>
    <xf numFmtId="164" fontId="4636" fillId="0" borderId="4972" xfId="0" applyNumberFormat="1" applyFont="1" applyBorder="1" applyAlignment="1">
      <alignment horizontal="right"/>
    </xf>
    <xf numFmtId="164" fontId="4671" fillId="0" borderId="5007" xfId="0" applyNumberFormat="1" applyFont="1" applyBorder="1" applyAlignment="1">
      <alignment horizontal="right"/>
    </xf>
    <xf numFmtId="164" fontId="4710" fillId="0" borderId="5046" xfId="0" applyNumberFormat="1" applyFont="1" applyBorder="1" applyAlignment="1">
      <alignment horizontal="right"/>
    </xf>
    <xf numFmtId="164" fontId="4598" fillId="0" borderId="4934" xfId="0" applyNumberFormat="1" applyFont="1" applyBorder="1" applyAlignment="1">
      <alignment horizontal="right"/>
    </xf>
    <xf numFmtId="164" fontId="4637" fillId="0" borderId="4973" xfId="0" applyNumberFormat="1" applyFont="1" applyBorder="1" applyAlignment="1">
      <alignment horizontal="right"/>
    </xf>
    <xf numFmtId="164" fontId="4672" fillId="0" borderId="5008" xfId="0" applyNumberFormat="1" applyFont="1" applyBorder="1" applyAlignment="1">
      <alignment horizontal="right"/>
    </xf>
    <xf numFmtId="164" fontId="4711" fillId="0" borderId="5047" xfId="0" applyNumberFormat="1" applyFont="1" applyBorder="1" applyAlignment="1">
      <alignment horizontal="right"/>
    </xf>
    <xf numFmtId="164" fontId="4599" fillId="0" borderId="4935" xfId="0" applyNumberFormat="1" applyFont="1" applyBorder="1" applyAlignment="1">
      <alignment horizontal="right"/>
    </xf>
    <xf numFmtId="164" fontId="4638" fillId="0" borderId="4974" xfId="0" applyNumberFormat="1" applyFont="1" applyBorder="1" applyAlignment="1">
      <alignment horizontal="right"/>
    </xf>
    <xf numFmtId="164" fontId="4673" fillId="0" borderId="5009" xfId="0" applyNumberFormat="1" applyFont="1" applyBorder="1" applyAlignment="1">
      <alignment horizontal="right"/>
    </xf>
    <xf numFmtId="164" fontId="4712" fillId="0" borderId="5048" xfId="0" applyNumberFormat="1" applyFont="1" applyBorder="1" applyAlignment="1">
      <alignment horizontal="right"/>
    </xf>
    <xf numFmtId="164" fontId="4600" fillId="0" borderId="4936" xfId="0" applyNumberFormat="1" applyFont="1" applyBorder="1" applyAlignment="1">
      <alignment horizontal="right"/>
    </xf>
    <xf numFmtId="164" fontId="4639" fillId="0" borderId="4975" xfId="0" applyNumberFormat="1" applyFont="1" applyBorder="1" applyAlignment="1">
      <alignment horizontal="right"/>
    </xf>
    <xf numFmtId="164" fontId="4674" fillId="0" borderId="5010" xfId="0" applyNumberFormat="1" applyFont="1" applyBorder="1" applyAlignment="1">
      <alignment horizontal="right"/>
    </xf>
    <xf numFmtId="164" fontId="4713" fillId="0" borderId="5049" xfId="0" applyNumberFormat="1" applyFont="1" applyBorder="1" applyAlignment="1">
      <alignment horizontal="right"/>
    </xf>
    <xf numFmtId="164" fontId="4601" fillId="0" borderId="4937" xfId="0" applyNumberFormat="1" applyFont="1" applyBorder="1" applyAlignment="1">
      <alignment horizontal="right"/>
    </xf>
    <xf numFmtId="164" fontId="4640" fillId="0" borderId="4976" xfId="0" applyNumberFormat="1" applyFont="1" applyBorder="1" applyAlignment="1">
      <alignment horizontal="right"/>
    </xf>
    <xf numFmtId="164" fontId="4675" fillId="0" borderId="5011" xfId="0" applyNumberFormat="1" applyFont="1" applyBorder="1" applyAlignment="1">
      <alignment horizontal="right"/>
    </xf>
    <xf numFmtId="164" fontId="4714" fillId="0" borderId="5050" xfId="0" applyNumberFormat="1" applyFont="1" applyBorder="1" applyAlignment="1">
      <alignment horizontal="right"/>
    </xf>
    <xf numFmtId="164" fontId="4602" fillId="0" borderId="4938" xfId="0" applyNumberFormat="1" applyFont="1" applyBorder="1" applyAlignment="1">
      <alignment horizontal="right"/>
    </xf>
    <xf numFmtId="164" fontId="4641" fillId="0" borderId="4977" xfId="0" applyNumberFormat="1" applyFont="1" applyBorder="1" applyAlignment="1">
      <alignment horizontal="right"/>
    </xf>
    <xf numFmtId="164" fontId="4676" fillId="0" borderId="5012" xfId="0" applyNumberFormat="1" applyFont="1" applyBorder="1" applyAlignment="1">
      <alignment horizontal="right"/>
    </xf>
    <xf numFmtId="164" fontId="4715" fillId="0" borderId="5051" xfId="0" applyNumberFormat="1" applyFont="1" applyBorder="1" applyAlignment="1">
      <alignment horizontal="right"/>
    </xf>
    <xf numFmtId="164" fontId="4603" fillId="0" borderId="4939" xfId="0" applyNumberFormat="1" applyFont="1" applyBorder="1" applyAlignment="1">
      <alignment horizontal="right"/>
    </xf>
    <xf numFmtId="164" fontId="4642" fillId="0" borderId="4978" xfId="0" applyNumberFormat="1" applyFont="1" applyBorder="1" applyAlignment="1">
      <alignment horizontal="right"/>
    </xf>
    <xf numFmtId="164" fontId="4677" fillId="0" borderId="5013" xfId="0" applyNumberFormat="1" applyFont="1" applyBorder="1" applyAlignment="1">
      <alignment horizontal="right"/>
    </xf>
    <xf numFmtId="164" fontId="4716" fillId="0" borderId="5052" xfId="0" applyNumberFormat="1" applyFont="1" applyBorder="1" applyAlignment="1">
      <alignment horizontal="right"/>
    </xf>
    <xf numFmtId="164" fontId="4604" fillId="0" borderId="4940" xfId="0" applyNumberFormat="1" applyFont="1" applyBorder="1" applyAlignment="1">
      <alignment horizontal="right"/>
    </xf>
    <xf numFmtId="164" fontId="4643" fillId="0" borderId="4979" xfId="0" applyNumberFormat="1" applyFont="1" applyBorder="1" applyAlignment="1">
      <alignment horizontal="right"/>
    </xf>
    <xf numFmtId="164" fontId="4678" fillId="0" borderId="5014" xfId="0" applyNumberFormat="1" applyFont="1" applyBorder="1" applyAlignment="1">
      <alignment horizontal="right"/>
    </xf>
    <xf numFmtId="164" fontId="4717" fillId="0" borderId="5053" xfId="0" applyNumberFormat="1" applyFont="1" applyBorder="1" applyAlignment="1">
      <alignment horizontal="right"/>
    </xf>
    <xf numFmtId="164" fontId="4605" fillId="0" borderId="4941" xfId="0" applyNumberFormat="1" applyFont="1" applyBorder="1" applyAlignment="1">
      <alignment horizontal="right"/>
    </xf>
    <xf numFmtId="164" fontId="4644" fillId="0" borderId="4980" xfId="0" applyNumberFormat="1" applyFont="1" applyBorder="1" applyAlignment="1">
      <alignment horizontal="right"/>
    </xf>
    <xf numFmtId="164" fontId="4679" fillId="0" borderId="5015" xfId="0" applyNumberFormat="1" applyFont="1" applyBorder="1" applyAlignment="1">
      <alignment horizontal="right"/>
    </xf>
    <xf numFmtId="164" fontId="4718" fillId="0" borderId="5054" xfId="0" applyNumberFormat="1" applyFont="1" applyBorder="1" applyAlignment="1">
      <alignment horizontal="right"/>
    </xf>
    <xf numFmtId="164" fontId="4606" fillId="0" borderId="4942" xfId="0" applyNumberFormat="1" applyFont="1" applyBorder="1" applyAlignment="1">
      <alignment horizontal="right"/>
    </xf>
    <xf numFmtId="164" fontId="4645" fillId="0" borderId="4981" xfId="0" applyNumberFormat="1" applyFont="1" applyBorder="1" applyAlignment="1">
      <alignment horizontal="right"/>
    </xf>
    <xf numFmtId="164" fontId="4680" fillId="0" borderId="5016" xfId="0" applyNumberFormat="1" applyFont="1" applyBorder="1" applyAlignment="1">
      <alignment horizontal="right"/>
    </xf>
    <xf numFmtId="164" fontId="4719" fillId="0" borderId="5055" xfId="0" applyNumberFormat="1" applyFont="1" applyBorder="1" applyAlignment="1">
      <alignment horizontal="right"/>
    </xf>
    <xf numFmtId="164" fontId="4607" fillId="0" borderId="4943" xfId="0" applyNumberFormat="1" applyFont="1" applyBorder="1" applyAlignment="1">
      <alignment horizontal="right"/>
    </xf>
    <xf numFmtId="164" fontId="4646" fillId="0" borderId="4982" xfId="0" applyNumberFormat="1" applyFont="1" applyBorder="1" applyAlignment="1">
      <alignment horizontal="right"/>
    </xf>
    <xf numFmtId="164" fontId="4681" fillId="0" borderId="5017" xfId="0" applyNumberFormat="1" applyFont="1" applyBorder="1" applyAlignment="1">
      <alignment horizontal="right"/>
    </xf>
    <xf numFmtId="164" fontId="4720" fillId="0" borderId="5056" xfId="0" applyNumberFormat="1" applyFont="1" applyBorder="1" applyAlignment="1">
      <alignment horizontal="right"/>
    </xf>
    <xf numFmtId="164" fontId="4570" fillId="0" borderId="4906" xfId="0" applyNumberFormat="1" applyFont="1" applyBorder="1" applyAlignment="1">
      <alignment horizontal="right"/>
    </xf>
    <xf numFmtId="164" fontId="4609" fillId="0" borderId="4945" xfId="0" applyNumberFormat="1" applyFont="1" applyBorder="1" applyAlignment="1">
      <alignment horizontal="right"/>
    </xf>
    <xf numFmtId="164" fontId="4648" fillId="0" borderId="4984" xfId="0" applyNumberFormat="1" applyFont="1" applyBorder="1" applyAlignment="1">
      <alignment horizontal="right"/>
    </xf>
    <xf numFmtId="164" fontId="4683" fillId="0" borderId="5019" xfId="0" applyNumberFormat="1" applyFont="1" applyBorder="1" applyAlignment="1">
      <alignment horizontal="right"/>
    </xf>
    <xf numFmtId="164" fontId="1001" fillId="0" borderId="1085" xfId="0" applyNumberFormat="1" applyFont="1" applyBorder="1" applyAlignment="1">
      <alignment horizontal="right"/>
    </xf>
    <xf numFmtId="164" fontId="1086" fillId="0" borderId="1177" xfId="0" applyNumberFormat="1" applyFont="1" applyBorder="1" applyAlignment="1">
      <alignment horizontal="right"/>
    </xf>
    <xf numFmtId="164" fontId="1169" fillId="0" borderId="1267" xfId="0" applyNumberFormat="1" applyFont="1" applyBorder="1" applyAlignment="1">
      <alignment horizontal="right"/>
    </xf>
    <xf numFmtId="164" fontId="1246" fillId="0" borderId="1351" xfId="0" applyNumberFormat="1" applyFont="1" applyBorder="1" applyAlignment="1">
      <alignment horizontal="right"/>
    </xf>
    <xf numFmtId="164" fontId="1002" fillId="0" borderId="1086" xfId="0" applyNumberFormat="1" applyFont="1" applyBorder="1" applyAlignment="1">
      <alignment horizontal="right"/>
    </xf>
    <xf numFmtId="164" fontId="1087" fillId="0" borderId="1178" xfId="0" applyNumberFormat="1" applyFont="1" applyBorder="1" applyAlignment="1">
      <alignment horizontal="right"/>
    </xf>
    <xf numFmtId="164" fontId="1170" fillId="0" borderId="1268" xfId="0" applyNumberFormat="1" applyFont="1" applyBorder="1" applyAlignment="1">
      <alignment horizontal="right"/>
    </xf>
    <xf numFmtId="164" fontId="1247" fillId="0" borderId="1352" xfId="0" applyNumberFormat="1" applyFont="1" applyBorder="1" applyAlignment="1">
      <alignment horizontal="right"/>
    </xf>
    <xf numFmtId="164" fontId="1003" fillId="0" borderId="1087" xfId="0" applyNumberFormat="1" applyFont="1" applyBorder="1" applyAlignment="1">
      <alignment horizontal="right"/>
    </xf>
    <xf numFmtId="164" fontId="1088" fillId="0" borderId="1179" xfId="0" applyNumberFormat="1" applyFont="1" applyBorder="1" applyAlignment="1">
      <alignment horizontal="right"/>
    </xf>
    <xf numFmtId="164" fontId="1171" fillId="0" borderId="1269" xfId="0" applyNumberFormat="1" applyFont="1" applyBorder="1" applyAlignment="1">
      <alignment horizontal="right"/>
    </xf>
    <xf numFmtId="164" fontId="1248" fillId="0" borderId="1353" xfId="0" applyNumberFormat="1" applyFont="1" applyBorder="1" applyAlignment="1">
      <alignment horizontal="right"/>
    </xf>
    <xf numFmtId="164" fontId="1004" fillId="0" borderId="1088" xfId="0" applyNumberFormat="1" applyFont="1" applyBorder="1" applyAlignment="1">
      <alignment horizontal="right"/>
    </xf>
    <xf numFmtId="164" fontId="1089" fillId="0" borderId="1180" xfId="0" applyNumberFormat="1" applyFont="1" applyBorder="1" applyAlignment="1">
      <alignment horizontal="right"/>
    </xf>
    <xf numFmtId="164" fontId="1172" fillId="0" borderId="1270" xfId="0" applyNumberFormat="1" applyFont="1" applyBorder="1" applyAlignment="1">
      <alignment horizontal="right"/>
    </xf>
    <xf numFmtId="164" fontId="1249" fillId="0" borderId="1354" xfId="0" applyNumberFormat="1" applyFont="1" applyBorder="1" applyAlignment="1">
      <alignment horizontal="right"/>
    </xf>
    <xf numFmtId="164" fontId="1005" fillId="0" borderId="1089" xfId="0" applyNumberFormat="1" applyFont="1" applyBorder="1" applyAlignment="1">
      <alignment horizontal="right"/>
    </xf>
    <xf numFmtId="164" fontId="1090" fillId="0" borderId="1181" xfId="0" applyNumberFormat="1" applyFont="1" applyBorder="1" applyAlignment="1">
      <alignment horizontal="right"/>
    </xf>
    <xf numFmtId="164" fontId="1173" fillId="0" borderId="1271" xfId="0" applyNumberFormat="1" applyFont="1" applyBorder="1" applyAlignment="1">
      <alignment horizontal="right"/>
    </xf>
    <xf numFmtId="164" fontId="1250" fillId="0" borderId="1355" xfId="0" applyNumberFormat="1" applyFont="1" applyBorder="1" applyAlignment="1">
      <alignment horizontal="right"/>
    </xf>
    <xf numFmtId="164" fontId="1006" fillId="0" borderId="1090" xfId="0" applyNumberFormat="1" applyFont="1" applyBorder="1" applyAlignment="1">
      <alignment horizontal="right"/>
    </xf>
    <xf numFmtId="164" fontId="1091" fillId="0" borderId="1182" xfId="0" applyNumberFormat="1" applyFont="1" applyBorder="1" applyAlignment="1">
      <alignment horizontal="right"/>
    </xf>
    <xf numFmtId="164" fontId="1174" fillId="0" borderId="1272" xfId="0" applyNumberFormat="1" applyFont="1" applyBorder="1" applyAlignment="1">
      <alignment horizontal="right"/>
    </xf>
    <xf numFmtId="164" fontId="1251" fillId="0" borderId="1356" xfId="0" applyNumberFormat="1" applyFont="1" applyBorder="1" applyAlignment="1">
      <alignment horizontal="right"/>
    </xf>
    <xf numFmtId="164" fontId="1007" fillId="0" borderId="1091" xfId="0" applyNumberFormat="1" applyFont="1" applyBorder="1" applyAlignment="1">
      <alignment horizontal="right"/>
    </xf>
    <xf numFmtId="164" fontId="1092" fillId="0" borderId="1183" xfId="0" applyNumberFormat="1" applyFont="1" applyBorder="1" applyAlignment="1">
      <alignment horizontal="right"/>
    </xf>
    <xf numFmtId="164" fontId="1175" fillId="0" borderId="1273" xfId="0" applyNumberFormat="1" applyFont="1" applyBorder="1" applyAlignment="1">
      <alignment horizontal="right"/>
    </xf>
    <xf numFmtId="164" fontId="1252" fillId="0" borderId="1357" xfId="0" applyNumberFormat="1" applyFont="1" applyBorder="1" applyAlignment="1">
      <alignment horizontal="right"/>
    </xf>
    <xf numFmtId="164" fontId="1008" fillId="0" borderId="1092" xfId="0" applyNumberFormat="1" applyFont="1" applyBorder="1" applyAlignment="1">
      <alignment horizontal="right"/>
    </xf>
    <xf numFmtId="164" fontId="1093" fillId="0" borderId="1184" xfId="0" applyNumberFormat="1" applyFont="1" applyBorder="1" applyAlignment="1">
      <alignment horizontal="right"/>
    </xf>
    <xf numFmtId="164" fontId="1176" fillId="0" borderId="1274" xfId="0" applyNumberFormat="1" applyFont="1" applyBorder="1" applyAlignment="1">
      <alignment horizontal="right"/>
    </xf>
    <xf numFmtId="164" fontId="1253" fillId="0" borderId="1358" xfId="0" applyNumberFormat="1" applyFont="1" applyBorder="1" applyAlignment="1">
      <alignment horizontal="right"/>
    </xf>
    <xf numFmtId="164" fontId="1009" fillId="0" borderId="1093" xfId="0" applyNumberFormat="1" applyFont="1" applyBorder="1" applyAlignment="1">
      <alignment horizontal="right"/>
    </xf>
    <xf numFmtId="164" fontId="1094" fillId="0" borderId="1185" xfId="0" applyNumberFormat="1" applyFont="1" applyBorder="1" applyAlignment="1">
      <alignment horizontal="right"/>
    </xf>
    <xf numFmtId="164" fontId="1177" fillId="0" borderId="1275" xfId="0" applyNumberFormat="1" applyFont="1" applyBorder="1" applyAlignment="1">
      <alignment horizontal="right"/>
    </xf>
    <xf numFmtId="164" fontId="1254" fillId="0" borderId="1359" xfId="0" applyNumberFormat="1" applyFont="1" applyBorder="1" applyAlignment="1">
      <alignment horizontal="right"/>
    </xf>
    <xf numFmtId="164" fontId="1010" fillId="0" borderId="1094" xfId="0" applyNumberFormat="1" applyFont="1" applyBorder="1" applyAlignment="1">
      <alignment horizontal="right"/>
    </xf>
    <xf numFmtId="164" fontId="1095" fillId="0" borderId="1186" xfId="0" applyNumberFormat="1" applyFont="1" applyBorder="1" applyAlignment="1">
      <alignment horizontal="right"/>
    </xf>
    <xf numFmtId="164" fontId="1178" fillId="0" borderId="1276" xfId="0" applyNumberFormat="1" applyFont="1" applyBorder="1" applyAlignment="1">
      <alignment horizontal="right"/>
    </xf>
    <xf numFmtId="164" fontId="1255" fillId="0" borderId="1360" xfId="0" applyNumberFormat="1" applyFont="1" applyBorder="1" applyAlignment="1">
      <alignment horizontal="right"/>
    </xf>
    <xf numFmtId="164" fontId="1011" fillId="0" borderId="1095" xfId="0" applyNumberFormat="1" applyFont="1" applyBorder="1" applyAlignment="1">
      <alignment horizontal="right"/>
    </xf>
    <xf numFmtId="164" fontId="1096" fillId="0" borderId="1187" xfId="0" applyNumberFormat="1" applyFont="1" applyBorder="1" applyAlignment="1">
      <alignment horizontal="right"/>
    </xf>
    <xf numFmtId="164" fontId="1179" fillId="0" borderId="1277" xfId="0" applyNumberFormat="1" applyFont="1" applyBorder="1" applyAlignment="1">
      <alignment horizontal="right"/>
    </xf>
    <xf numFmtId="164" fontId="1256" fillId="0" borderId="1361" xfId="0" applyNumberFormat="1" applyFont="1" applyBorder="1" applyAlignment="1">
      <alignment horizontal="right"/>
    </xf>
    <xf numFmtId="164" fontId="1012" fillId="0" borderId="1096" xfId="0" applyNumberFormat="1" applyFont="1" applyBorder="1" applyAlignment="1">
      <alignment horizontal="right"/>
    </xf>
    <xf numFmtId="164" fontId="1097" fillId="0" borderId="1188" xfId="0" applyNumberFormat="1" applyFont="1" applyBorder="1" applyAlignment="1">
      <alignment horizontal="right"/>
    </xf>
    <xf numFmtId="164" fontId="1180" fillId="0" borderId="1278" xfId="0" applyNumberFormat="1" applyFont="1" applyBorder="1" applyAlignment="1">
      <alignment horizontal="right"/>
    </xf>
    <xf numFmtId="164" fontId="1257" fillId="0" borderId="1362" xfId="0" applyNumberFormat="1" applyFont="1" applyBorder="1" applyAlignment="1">
      <alignment horizontal="right"/>
    </xf>
    <xf numFmtId="164" fontId="1013" fillId="0" borderId="1097" xfId="0" applyNumberFormat="1" applyFont="1" applyBorder="1" applyAlignment="1">
      <alignment horizontal="right"/>
    </xf>
    <xf numFmtId="164" fontId="1098" fillId="0" borderId="1189" xfId="0" applyNumberFormat="1" applyFont="1" applyBorder="1" applyAlignment="1">
      <alignment horizontal="right"/>
    </xf>
    <xf numFmtId="164" fontId="1181" fillId="0" borderId="1279" xfId="0" applyNumberFormat="1" applyFont="1" applyBorder="1" applyAlignment="1">
      <alignment horizontal="right"/>
    </xf>
    <xf numFmtId="164" fontId="1258" fillId="0" borderId="1363" xfId="0" applyNumberFormat="1" applyFont="1" applyBorder="1" applyAlignment="1">
      <alignment horizontal="right"/>
    </xf>
    <xf numFmtId="164" fontId="1014" fillId="0" borderId="1098" xfId="0" applyNumberFormat="1" applyFont="1" applyBorder="1" applyAlignment="1">
      <alignment horizontal="right"/>
    </xf>
    <xf numFmtId="164" fontId="1099" fillId="0" borderId="1190" xfId="0" applyNumberFormat="1" applyFont="1" applyBorder="1" applyAlignment="1">
      <alignment horizontal="right"/>
    </xf>
    <xf numFmtId="164" fontId="1182" fillId="0" borderId="1280" xfId="0" applyNumberFormat="1" applyFont="1" applyBorder="1" applyAlignment="1">
      <alignment horizontal="right"/>
    </xf>
    <xf numFmtId="164" fontId="1259" fillId="0" borderId="1364" xfId="0" applyNumberFormat="1" applyFont="1" applyBorder="1" applyAlignment="1">
      <alignment horizontal="right"/>
    </xf>
    <xf numFmtId="164" fontId="1015" fillId="0" borderId="1099" xfId="0" applyNumberFormat="1" applyFont="1" applyBorder="1" applyAlignment="1">
      <alignment horizontal="right"/>
    </xf>
    <xf numFmtId="164" fontId="1100" fillId="0" borderId="1191" xfId="0" applyNumberFormat="1" applyFont="1" applyBorder="1" applyAlignment="1">
      <alignment horizontal="right"/>
    </xf>
    <xf numFmtId="164" fontId="1183" fillId="0" borderId="1281" xfId="0" applyNumberFormat="1" applyFont="1" applyBorder="1" applyAlignment="1">
      <alignment horizontal="right"/>
    </xf>
    <xf numFmtId="164" fontId="1260" fillId="0" borderId="1365" xfId="0" applyNumberFormat="1" applyFont="1" applyBorder="1" applyAlignment="1">
      <alignment horizontal="right"/>
    </xf>
    <xf numFmtId="164" fontId="991" fillId="0" borderId="1075" xfId="0" applyNumberFormat="1" applyFont="1" applyBorder="1" applyAlignment="1">
      <alignment horizontal="right"/>
    </xf>
    <xf numFmtId="164" fontId="1076" fillId="0" borderId="1167" xfId="0" applyNumberFormat="1" applyFont="1" applyBorder="1" applyAlignment="1">
      <alignment horizontal="right"/>
    </xf>
    <xf numFmtId="164" fontId="1161" fillId="0" borderId="1259" xfId="0" applyNumberFormat="1" applyFont="1" applyBorder="1" applyAlignment="1">
      <alignment horizontal="right"/>
    </xf>
    <xf numFmtId="164" fontId="1236" fillId="0" borderId="1341" xfId="0" applyNumberFormat="1" applyFont="1" applyBorder="1" applyAlignment="1">
      <alignment horizontal="right"/>
    </xf>
    <xf numFmtId="164" fontId="1021" fillId="0" borderId="1105" xfId="0" applyNumberFormat="1" applyFont="1" applyBorder="1" applyAlignment="1">
      <alignment horizontal="right"/>
    </xf>
    <xf numFmtId="164" fontId="1106" fillId="0" borderId="1197" xfId="0" applyNumberFormat="1" applyFont="1" applyBorder="1" applyAlignment="1">
      <alignment horizontal="right"/>
    </xf>
    <xf numFmtId="164" fontId="1187" fillId="0" borderId="1285" xfId="0" applyNumberFormat="1" applyFont="1" applyBorder="1" applyAlignment="1">
      <alignment horizontal="right"/>
    </xf>
    <xf numFmtId="164" fontId="1266" fillId="0" borderId="1371" xfId="0" applyNumberFormat="1" applyFont="1" applyBorder="1" applyAlignment="1">
      <alignment horizontal="right"/>
    </xf>
    <xf numFmtId="164" fontId="1022" fillId="0" borderId="1106" xfId="0" applyNumberFormat="1" applyFont="1" applyBorder="1" applyAlignment="1">
      <alignment horizontal="right"/>
    </xf>
    <xf numFmtId="164" fontId="1107" fillId="0" borderId="1198" xfId="0" applyNumberFormat="1" applyFont="1" applyBorder="1" applyAlignment="1">
      <alignment horizontal="right"/>
    </xf>
    <xf numFmtId="164" fontId="1188" fillId="0" borderId="1286" xfId="0" applyNumberFormat="1" applyFont="1" applyBorder="1" applyAlignment="1">
      <alignment horizontal="right"/>
    </xf>
    <xf numFmtId="164" fontId="1267" fillId="0" borderId="1372" xfId="0" applyNumberFormat="1" applyFont="1" applyBorder="1" applyAlignment="1">
      <alignment horizontal="right"/>
    </xf>
    <xf numFmtId="164" fontId="1023" fillId="0" borderId="1107" xfId="0" applyNumberFormat="1" applyFont="1" applyBorder="1" applyAlignment="1">
      <alignment horizontal="right"/>
    </xf>
    <xf numFmtId="164" fontId="1108" fillId="0" borderId="1199" xfId="0" applyNumberFormat="1" applyFont="1" applyBorder="1" applyAlignment="1">
      <alignment horizontal="right"/>
    </xf>
    <xf numFmtId="164" fontId="1189" fillId="0" borderId="1287" xfId="0" applyNumberFormat="1" applyFont="1" applyBorder="1" applyAlignment="1">
      <alignment horizontal="right"/>
    </xf>
    <xf numFmtId="164" fontId="1268" fillId="0" borderId="1373" xfId="0" applyNumberFormat="1" applyFont="1" applyBorder="1" applyAlignment="1">
      <alignment horizontal="right"/>
    </xf>
    <xf numFmtId="164" fontId="1024" fillId="0" borderId="1108" xfId="0" applyNumberFormat="1" applyFont="1" applyBorder="1" applyAlignment="1">
      <alignment horizontal="right"/>
    </xf>
    <xf numFmtId="164" fontId="1109" fillId="0" borderId="1200" xfId="0" applyNumberFormat="1" applyFont="1" applyBorder="1" applyAlignment="1">
      <alignment horizontal="right"/>
    </xf>
    <xf numFmtId="164" fontId="1190" fillId="0" borderId="1288" xfId="0" applyNumberFormat="1" applyFont="1" applyBorder="1" applyAlignment="1">
      <alignment horizontal="right"/>
    </xf>
    <xf numFmtId="164" fontId="1269" fillId="0" borderId="1374" xfId="0" applyNumberFormat="1" applyFont="1" applyBorder="1" applyAlignment="1">
      <alignment horizontal="right"/>
    </xf>
    <xf numFmtId="164" fontId="1025" fillId="0" borderId="1109" xfId="0" applyNumberFormat="1" applyFont="1" applyBorder="1" applyAlignment="1">
      <alignment horizontal="right"/>
    </xf>
    <xf numFmtId="164" fontId="1110" fillId="0" borderId="1201" xfId="0" applyNumberFormat="1" applyFont="1" applyBorder="1" applyAlignment="1">
      <alignment horizontal="right"/>
    </xf>
    <xf numFmtId="164" fontId="1191" fillId="0" borderId="1289" xfId="0" applyNumberFormat="1" applyFont="1" applyBorder="1" applyAlignment="1">
      <alignment horizontal="right"/>
    </xf>
    <xf numFmtId="164" fontId="1270" fillId="0" borderId="1375" xfId="0" applyNumberFormat="1" applyFont="1" applyBorder="1" applyAlignment="1">
      <alignment horizontal="right"/>
    </xf>
    <xf numFmtId="164" fontId="1026" fillId="0" borderId="1110" xfId="0" applyNumberFormat="1" applyFont="1" applyBorder="1" applyAlignment="1">
      <alignment horizontal="right"/>
    </xf>
    <xf numFmtId="164" fontId="1111" fillId="0" borderId="1202" xfId="0" applyNumberFormat="1" applyFont="1" applyBorder="1" applyAlignment="1">
      <alignment horizontal="right"/>
    </xf>
    <xf numFmtId="164" fontId="1192" fillId="0" borderId="1290" xfId="0" applyNumberFormat="1" applyFont="1" applyBorder="1" applyAlignment="1">
      <alignment horizontal="right"/>
    </xf>
    <xf numFmtId="164" fontId="1271" fillId="0" borderId="1376" xfId="0" applyNumberFormat="1" applyFont="1" applyBorder="1" applyAlignment="1">
      <alignment horizontal="right"/>
    </xf>
    <xf numFmtId="164" fontId="1027" fillId="0" borderId="1111" xfId="0" applyNumberFormat="1" applyFont="1" applyBorder="1" applyAlignment="1">
      <alignment horizontal="right"/>
    </xf>
    <xf numFmtId="164" fontId="1112" fillId="0" borderId="1203" xfId="0" applyNumberFormat="1" applyFont="1" applyBorder="1" applyAlignment="1">
      <alignment horizontal="right"/>
    </xf>
    <xf numFmtId="164" fontId="1193" fillId="0" borderId="1291" xfId="0" applyNumberFormat="1" applyFont="1" applyBorder="1" applyAlignment="1">
      <alignment horizontal="right"/>
    </xf>
    <xf numFmtId="164" fontId="1272" fillId="0" borderId="1377" xfId="0" applyNumberFormat="1" applyFont="1" applyBorder="1" applyAlignment="1">
      <alignment horizontal="right"/>
    </xf>
    <xf numFmtId="164" fontId="1028" fillId="0" borderId="1112" xfId="0" applyNumberFormat="1" applyFont="1" applyBorder="1" applyAlignment="1">
      <alignment horizontal="right"/>
    </xf>
    <xf numFmtId="164" fontId="1113" fillId="0" borderId="1204" xfId="0" applyNumberFormat="1" applyFont="1" applyBorder="1" applyAlignment="1">
      <alignment horizontal="right"/>
    </xf>
    <xf numFmtId="164" fontId="1194" fillId="0" borderId="1292" xfId="0" applyNumberFormat="1" applyFont="1" applyBorder="1" applyAlignment="1">
      <alignment horizontal="right"/>
    </xf>
    <xf numFmtId="164" fontId="1273" fillId="0" borderId="1378" xfId="0" applyNumberFormat="1" applyFont="1" applyBorder="1" applyAlignment="1">
      <alignment horizontal="right"/>
    </xf>
    <xf numFmtId="164" fontId="1029" fillId="0" borderId="1113" xfId="0" applyNumberFormat="1" applyFont="1" applyBorder="1" applyAlignment="1">
      <alignment horizontal="right"/>
    </xf>
    <xf numFmtId="164" fontId="1114" fillId="0" borderId="1205" xfId="0" applyNumberFormat="1" applyFont="1" applyBorder="1" applyAlignment="1">
      <alignment horizontal="right"/>
    </xf>
    <xf numFmtId="164" fontId="1195" fillId="0" borderId="1293" xfId="0" applyNumberFormat="1" applyFont="1" applyBorder="1" applyAlignment="1">
      <alignment horizontal="right"/>
    </xf>
    <xf numFmtId="164" fontId="1274" fillId="0" borderId="1379" xfId="0" applyNumberFormat="1" applyFont="1" applyBorder="1" applyAlignment="1">
      <alignment horizontal="right"/>
    </xf>
    <xf numFmtId="164" fontId="1030" fillId="0" borderId="1114" xfId="0" applyNumberFormat="1" applyFont="1" applyBorder="1" applyAlignment="1">
      <alignment horizontal="right"/>
    </xf>
    <xf numFmtId="164" fontId="1115" fillId="0" borderId="1206" xfId="0" applyNumberFormat="1" applyFont="1" applyBorder="1" applyAlignment="1">
      <alignment horizontal="right"/>
    </xf>
    <xf numFmtId="164" fontId="1196" fillId="0" borderId="1294" xfId="0" applyNumberFormat="1" applyFont="1" applyBorder="1" applyAlignment="1">
      <alignment horizontal="right"/>
    </xf>
    <xf numFmtId="164" fontId="1275" fillId="0" borderId="1380" xfId="0" applyNumberFormat="1" applyFont="1" applyBorder="1" applyAlignment="1">
      <alignment horizontal="right"/>
    </xf>
    <xf numFmtId="164" fontId="1031" fillId="0" borderId="1115" xfId="0" applyNumberFormat="1" applyFont="1" applyBorder="1" applyAlignment="1">
      <alignment horizontal="right"/>
    </xf>
    <xf numFmtId="164" fontId="1116" fillId="0" borderId="1207" xfId="0" applyNumberFormat="1" applyFont="1" applyBorder="1" applyAlignment="1">
      <alignment horizontal="right"/>
    </xf>
    <xf numFmtId="164" fontId="1197" fillId="0" borderId="1295" xfId="0" applyNumberFormat="1" applyFont="1" applyBorder="1" applyAlignment="1">
      <alignment horizontal="right"/>
    </xf>
    <xf numFmtId="164" fontId="1276" fillId="0" borderId="1381" xfId="0" applyNumberFormat="1" applyFont="1" applyBorder="1" applyAlignment="1">
      <alignment horizontal="right"/>
    </xf>
    <xf numFmtId="164" fontId="1032" fillId="0" borderId="1116" xfId="0" applyNumberFormat="1" applyFont="1" applyBorder="1" applyAlignment="1">
      <alignment horizontal="right"/>
    </xf>
    <xf numFmtId="164" fontId="1117" fillId="0" borderId="1208" xfId="0" applyNumberFormat="1" applyFont="1" applyBorder="1" applyAlignment="1">
      <alignment horizontal="right"/>
    </xf>
    <xf numFmtId="164" fontId="1198" fillId="0" borderId="1296" xfId="0" applyNumberFormat="1" applyFont="1" applyBorder="1" applyAlignment="1">
      <alignment horizontal="right"/>
    </xf>
    <xf numFmtId="164" fontId="1277" fillId="0" borderId="1382" xfId="0" applyNumberFormat="1" applyFont="1" applyBorder="1" applyAlignment="1">
      <alignment horizontal="right"/>
    </xf>
    <xf numFmtId="164" fontId="1033" fillId="0" borderId="1117" xfId="0" applyNumberFormat="1" applyFont="1" applyBorder="1" applyAlignment="1">
      <alignment horizontal="right"/>
    </xf>
    <xf numFmtId="164" fontId="1118" fillId="0" borderId="1209" xfId="0" applyNumberFormat="1" applyFont="1" applyBorder="1" applyAlignment="1">
      <alignment horizontal="right"/>
    </xf>
    <xf numFmtId="164" fontId="1199" fillId="0" borderId="1297" xfId="0" applyNumberFormat="1" applyFont="1" applyBorder="1" applyAlignment="1">
      <alignment horizontal="right"/>
    </xf>
    <xf numFmtId="164" fontId="1278" fillId="0" borderId="1383" xfId="0" applyNumberFormat="1" applyFont="1" applyBorder="1" applyAlignment="1">
      <alignment horizontal="right"/>
    </xf>
    <xf numFmtId="164" fontId="1034" fillId="0" borderId="1118" xfId="0" applyNumberFormat="1" applyFont="1" applyBorder="1" applyAlignment="1">
      <alignment horizontal="right"/>
    </xf>
    <xf numFmtId="164" fontId="1119" fillId="0" borderId="1210" xfId="0" applyNumberFormat="1" applyFont="1" applyBorder="1" applyAlignment="1">
      <alignment horizontal="right"/>
    </xf>
    <xf numFmtId="164" fontId="1200" fillId="0" borderId="1298" xfId="0" applyNumberFormat="1" applyFont="1" applyBorder="1" applyAlignment="1">
      <alignment horizontal="right"/>
    </xf>
    <xf numFmtId="164" fontId="1279" fillId="0" borderId="1384" xfId="0" applyNumberFormat="1" applyFont="1" applyBorder="1" applyAlignment="1">
      <alignment horizontal="right"/>
    </xf>
    <xf numFmtId="164" fontId="1035" fillId="0" borderId="1119" xfId="0" applyNumberFormat="1" applyFont="1" applyBorder="1" applyAlignment="1">
      <alignment horizontal="right"/>
    </xf>
    <xf numFmtId="164" fontId="1120" fillId="0" borderId="1211" xfId="0" applyNumberFormat="1" applyFont="1" applyBorder="1" applyAlignment="1">
      <alignment horizontal="right"/>
    </xf>
    <xf numFmtId="164" fontId="1201" fillId="0" borderId="1299" xfId="0" applyNumberFormat="1" applyFont="1" applyBorder="1" applyAlignment="1">
      <alignment horizontal="right"/>
    </xf>
    <xf numFmtId="164" fontId="1280" fillId="0" borderId="1385" xfId="0" applyNumberFormat="1" applyFont="1" applyBorder="1" applyAlignment="1">
      <alignment horizontal="right"/>
    </xf>
    <xf numFmtId="164" fontId="992" fillId="0" borderId="1076" xfId="0" applyNumberFormat="1" applyFont="1" applyBorder="1" applyAlignment="1">
      <alignment horizontal="right"/>
    </xf>
    <xf numFmtId="164" fontId="1077" fillId="0" borderId="1168" xfId="0" applyNumberFormat="1" applyFont="1" applyBorder="1" applyAlignment="1">
      <alignment horizontal="right"/>
    </xf>
    <xf numFmtId="164" fontId="1162" fillId="0" borderId="1260" xfId="0" applyNumberFormat="1" applyFont="1" applyBorder="1" applyAlignment="1">
      <alignment horizontal="right"/>
    </xf>
    <xf numFmtId="164" fontId="1237" fillId="0" borderId="1342" xfId="0" applyNumberFormat="1" applyFont="1" applyBorder="1" applyAlignment="1">
      <alignment horizontal="right"/>
    </xf>
    <xf numFmtId="164" fontId="1041" fillId="0" borderId="1125" xfId="0" applyNumberFormat="1" applyFont="1" applyBorder="1" applyAlignment="1">
      <alignment horizontal="right"/>
    </xf>
    <xf numFmtId="164" fontId="1126" fillId="0" borderId="1217" xfId="0" applyNumberFormat="1" applyFont="1" applyBorder="1" applyAlignment="1">
      <alignment horizontal="right"/>
    </xf>
    <xf numFmtId="164" fontId="1205" fillId="0" borderId="1303" xfId="0" applyNumberFormat="1" applyFont="1" applyBorder="1" applyAlignment="1">
      <alignment horizontal="right"/>
    </xf>
    <xf numFmtId="164" fontId="1286" fillId="0" borderId="1391" xfId="0" applyNumberFormat="1" applyFont="1" applyBorder="1" applyAlignment="1">
      <alignment horizontal="right"/>
    </xf>
    <xf numFmtId="164" fontId="1042" fillId="0" borderId="1126" xfId="0" applyNumberFormat="1" applyFont="1" applyBorder="1" applyAlignment="1">
      <alignment horizontal="right"/>
    </xf>
    <xf numFmtId="164" fontId="1127" fillId="0" borderId="1218" xfId="0" applyNumberFormat="1" applyFont="1" applyBorder="1" applyAlignment="1">
      <alignment horizontal="right"/>
    </xf>
    <xf numFmtId="164" fontId="1206" fillId="0" borderId="1304" xfId="0" applyNumberFormat="1" applyFont="1" applyBorder="1" applyAlignment="1">
      <alignment horizontal="right"/>
    </xf>
    <xf numFmtId="164" fontId="1287" fillId="0" borderId="1392" xfId="0" applyNumberFormat="1" applyFont="1" applyBorder="1" applyAlignment="1">
      <alignment horizontal="right"/>
    </xf>
    <xf numFmtId="164" fontId="1043" fillId="0" borderId="1127" xfId="0" applyNumberFormat="1" applyFont="1" applyBorder="1" applyAlignment="1">
      <alignment horizontal="right"/>
    </xf>
    <xf numFmtId="164" fontId="1128" fillId="0" borderId="1219" xfId="0" applyNumberFormat="1" applyFont="1" applyBorder="1" applyAlignment="1">
      <alignment horizontal="right"/>
    </xf>
    <xf numFmtId="164" fontId="1207" fillId="0" borderId="1305" xfId="0" applyNumberFormat="1" applyFont="1" applyBorder="1" applyAlignment="1">
      <alignment horizontal="right"/>
    </xf>
    <xf numFmtId="164" fontId="1288" fillId="0" borderId="1393" xfId="0" applyNumberFormat="1" applyFont="1" applyBorder="1" applyAlignment="1">
      <alignment horizontal="right"/>
    </xf>
    <xf numFmtId="164" fontId="1044" fillId="0" borderId="1128" xfId="0" applyNumberFormat="1" applyFont="1" applyBorder="1" applyAlignment="1">
      <alignment horizontal="right"/>
    </xf>
    <xf numFmtId="164" fontId="1129" fillId="0" borderId="1220" xfId="0" applyNumberFormat="1" applyFont="1" applyBorder="1" applyAlignment="1">
      <alignment horizontal="right"/>
    </xf>
    <xf numFmtId="164" fontId="1208" fillId="0" borderId="1306" xfId="0" applyNumberFormat="1" applyFont="1" applyBorder="1" applyAlignment="1">
      <alignment horizontal="right"/>
    </xf>
    <xf numFmtId="164" fontId="1289" fillId="0" borderId="1394" xfId="0" applyNumberFormat="1" applyFont="1" applyBorder="1" applyAlignment="1">
      <alignment horizontal="right"/>
    </xf>
    <xf numFmtId="164" fontId="1045" fillId="0" borderId="1129" xfId="0" applyNumberFormat="1" applyFont="1" applyBorder="1" applyAlignment="1">
      <alignment horizontal="right"/>
    </xf>
    <xf numFmtId="164" fontId="1130" fillId="0" borderId="1221" xfId="0" applyNumberFormat="1" applyFont="1" applyBorder="1" applyAlignment="1">
      <alignment horizontal="right"/>
    </xf>
    <xf numFmtId="164" fontId="1209" fillId="0" borderId="1307" xfId="0" applyNumberFormat="1" applyFont="1" applyBorder="1" applyAlignment="1">
      <alignment horizontal="right"/>
    </xf>
    <xf numFmtId="164" fontId="1290" fillId="0" borderId="1395" xfId="0" applyNumberFormat="1" applyFont="1" applyBorder="1" applyAlignment="1">
      <alignment horizontal="right"/>
    </xf>
    <xf numFmtId="164" fontId="1046" fillId="0" borderId="1130" xfId="0" applyNumberFormat="1" applyFont="1" applyBorder="1" applyAlignment="1">
      <alignment horizontal="right"/>
    </xf>
    <xf numFmtId="164" fontId="1131" fillId="0" borderId="1222" xfId="0" applyNumberFormat="1" applyFont="1" applyBorder="1" applyAlignment="1">
      <alignment horizontal="right"/>
    </xf>
    <xf numFmtId="164" fontId="1210" fillId="0" borderId="1308" xfId="0" applyNumberFormat="1" applyFont="1" applyBorder="1" applyAlignment="1">
      <alignment horizontal="right"/>
    </xf>
    <xf numFmtId="164" fontId="1291" fillId="0" borderId="1396" xfId="0" applyNumberFormat="1" applyFont="1" applyBorder="1" applyAlignment="1">
      <alignment horizontal="right"/>
    </xf>
    <xf numFmtId="164" fontId="1047" fillId="0" borderId="1131" xfId="0" applyNumberFormat="1" applyFont="1" applyBorder="1" applyAlignment="1">
      <alignment horizontal="right"/>
    </xf>
    <xf numFmtId="164" fontId="1132" fillId="0" borderId="1223" xfId="0" applyNumberFormat="1" applyFont="1" applyBorder="1" applyAlignment="1">
      <alignment horizontal="right"/>
    </xf>
    <xf numFmtId="164" fontId="1211" fillId="0" borderId="1309" xfId="0" applyNumberFormat="1" applyFont="1" applyBorder="1" applyAlignment="1">
      <alignment horizontal="right"/>
    </xf>
    <xf numFmtId="164" fontId="1292" fillId="0" borderId="1397" xfId="0" applyNumberFormat="1" applyFont="1" applyBorder="1" applyAlignment="1">
      <alignment horizontal="right"/>
    </xf>
    <xf numFmtId="164" fontId="1048" fillId="0" borderId="1132" xfId="0" applyNumberFormat="1" applyFont="1" applyBorder="1" applyAlignment="1">
      <alignment horizontal="right"/>
    </xf>
    <xf numFmtId="164" fontId="1133" fillId="0" borderId="1224" xfId="0" applyNumberFormat="1" applyFont="1" applyBorder="1" applyAlignment="1">
      <alignment horizontal="right"/>
    </xf>
    <xf numFmtId="164" fontId="1212" fillId="0" borderId="1310" xfId="0" applyNumberFormat="1" applyFont="1" applyBorder="1" applyAlignment="1">
      <alignment horizontal="right"/>
    </xf>
    <xf numFmtId="164" fontId="1293" fillId="0" borderId="1398" xfId="0" applyNumberFormat="1" applyFont="1" applyBorder="1" applyAlignment="1">
      <alignment horizontal="right"/>
    </xf>
    <xf numFmtId="164" fontId="1049" fillId="0" borderId="1133" xfId="0" applyNumberFormat="1" applyFont="1" applyBorder="1" applyAlignment="1">
      <alignment horizontal="right"/>
    </xf>
    <xf numFmtId="164" fontId="1134" fillId="0" borderId="1225" xfId="0" applyNumberFormat="1" applyFont="1" applyBorder="1" applyAlignment="1">
      <alignment horizontal="right"/>
    </xf>
    <xf numFmtId="164" fontId="1213" fillId="0" borderId="1311" xfId="0" applyNumberFormat="1" applyFont="1" applyBorder="1" applyAlignment="1">
      <alignment horizontal="right"/>
    </xf>
    <xf numFmtId="164" fontId="1294" fillId="0" borderId="1399" xfId="0" applyNumberFormat="1" applyFont="1" applyBorder="1" applyAlignment="1">
      <alignment horizontal="right"/>
    </xf>
    <xf numFmtId="164" fontId="1050" fillId="0" borderId="1134" xfId="0" applyNumberFormat="1" applyFont="1" applyBorder="1" applyAlignment="1">
      <alignment horizontal="right"/>
    </xf>
    <xf numFmtId="164" fontId="1135" fillId="0" borderId="1226" xfId="0" applyNumberFormat="1" applyFont="1" applyBorder="1" applyAlignment="1">
      <alignment horizontal="right"/>
    </xf>
    <xf numFmtId="164" fontId="1214" fillId="0" borderId="1312" xfId="0" applyNumberFormat="1" applyFont="1" applyBorder="1" applyAlignment="1">
      <alignment horizontal="right"/>
    </xf>
    <xf numFmtId="164" fontId="1295" fillId="0" borderId="1400" xfId="0" applyNumberFormat="1" applyFont="1" applyBorder="1" applyAlignment="1">
      <alignment horizontal="right"/>
    </xf>
    <xf numFmtId="164" fontId="1051" fillId="0" borderId="1135" xfId="0" applyNumberFormat="1" applyFont="1" applyBorder="1" applyAlignment="1">
      <alignment horizontal="right"/>
    </xf>
    <xf numFmtId="164" fontId="1136" fillId="0" borderId="1227" xfId="0" applyNumberFormat="1" applyFont="1" applyBorder="1" applyAlignment="1">
      <alignment horizontal="right"/>
    </xf>
    <xf numFmtId="164" fontId="1215" fillId="0" borderId="1313" xfId="0" applyNumberFormat="1" applyFont="1" applyBorder="1" applyAlignment="1">
      <alignment horizontal="right"/>
    </xf>
    <xf numFmtId="164" fontId="1296" fillId="0" borderId="1401" xfId="0" applyNumberFormat="1" applyFont="1" applyBorder="1" applyAlignment="1">
      <alignment horizontal="right"/>
    </xf>
    <xf numFmtId="164" fontId="1052" fillId="0" borderId="1136" xfId="0" applyNumberFormat="1" applyFont="1" applyBorder="1" applyAlignment="1">
      <alignment horizontal="right"/>
    </xf>
    <xf numFmtId="164" fontId="1137" fillId="0" borderId="1228" xfId="0" applyNumberFormat="1" applyFont="1" applyBorder="1" applyAlignment="1">
      <alignment horizontal="right"/>
    </xf>
    <xf numFmtId="164" fontId="1216" fillId="0" borderId="1314" xfId="0" applyNumberFormat="1" applyFont="1" applyBorder="1" applyAlignment="1">
      <alignment horizontal="right"/>
    </xf>
    <xf numFmtId="164" fontId="1297" fillId="0" borderId="1402" xfId="0" applyNumberFormat="1" applyFont="1" applyBorder="1" applyAlignment="1">
      <alignment horizontal="right"/>
    </xf>
    <xf numFmtId="164" fontId="1053" fillId="0" borderId="1137" xfId="0" applyNumberFormat="1" applyFont="1" applyBorder="1" applyAlignment="1">
      <alignment horizontal="right"/>
    </xf>
    <xf numFmtId="164" fontId="1138" fillId="0" borderId="1229" xfId="0" applyNumberFormat="1" applyFont="1" applyBorder="1" applyAlignment="1">
      <alignment horizontal="right"/>
    </xf>
    <xf numFmtId="164" fontId="1217" fillId="0" borderId="1315" xfId="0" applyNumberFormat="1" applyFont="1" applyBorder="1" applyAlignment="1">
      <alignment horizontal="right"/>
    </xf>
    <xf numFmtId="164" fontId="1298" fillId="0" borderId="1403" xfId="0" applyNumberFormat="1" applyFont="1" applyBorder="1" applyAlignment="1">
      <alignment horizontal="right"/>
    </xf>
    <xf numFmtId="164" fontId="1054" fillId="0" borderId="1138" xfId="0" applyNumberFormat="1" applyFont="1" applyBorder="1" applyAlignment="1">
      <alignment horizontal="right"/>
    </xf>
    <xf numFmtId="164" fontId="1139" fillId="0" borderId="1230" xfId="0" applyNumberFormat="1" applyFont="1" applyBorder="1" applyAlignment="1">
      <alignment horizontal="right"/>
    </xf>
    <xf numFmtId="164" fontId="1218" fillId="0" borderId="1316" xfId="0" applyNumberFormat="1" applyFont="1" applyBorder="1" applyAlignment="1">
      <alignment horizontal="right"/>
    </xf>
    <xf numFmtId="164" fontId="1299" fillId="0" borderId="1404" xfId="0" applyNumberFormat="1" applyFont="1" applyBorder="1" applyAlignment="1">
      <alignment horizontal="right"/>
    </xf>
    <xf numFmtId="164" fontId="993" fillId="0" borderId="1077" xfId="0" applyNumberFormat="1" applyFont="1" applyBorder="1" applyAlignment="1">
      <alignment horizontal="right"/>
    </xf>
    <xf numFmtId="164" fontId="1078" fillId="0" borderId="1169" xfId="0" applyNumberFormat="1" applyFont="1" applyBorder="1" applyAlignment="1">
      <alignment horizontal="right"/>
    </xf>
    <xf numFmtId="164" fontId="1163" fillId="0" borderId="1261" xfId="0" applyNumberFormat="1" applyFont="1" applyBorder="1" applyAlignment="1">
      <alignment horizontal="right"/>
    </xf>
    <xf numFmtId="164" fontId="1238" fillId="0" borderId="1343" xfId="0" applyNumberFormat="1" applyFont="1" applyBorder="1" applyAlignment="1">
      <alignment horizontal="right"/>
    </xf>
    <xf numFmtId="164" fontId="1060" fillId="0" borderId="1144" xfId="0" applyNumberFormat="1" applyFont="1" applyBorder="1" applyAlignment="1">
      <alignment horizontal="right"/>
    </xf>
    <xf numFmtId="164" fontId="1145" fillId="0" borderId="1236" xfId="0" applyNumberFormat="1" applyFont="1" applyBorder="1" applyAlignment="1">
      <alignment horizontal="right"/>
    </xf>
    <xf numFmtId="164" fontId="1222" fillId="0" borderId="1320" xfId="0" applyNumberFormat="1" applyFont="1" applyBorder="1" applyAlignment="1">
      <alignment horizontal="right"/>
    </xf>
    <xf numFmtId="164" fontId="1305" fillId="0" borderId="1410" xfId="0" applyNumberFormat="1" applyFont="1" applyBorder="1" applyAlignment="1">
      <alignment horizontal="right"/>
    </xf>
    <xf numFmtId="164" fontId="1061" fillId="0" borderId="1145" xfId="0" applyNumberFormat="1" applyFont="1" applyBorder="1" applyAlignment="1">
      <alignment horizontal="right"/>
    </xf>
    <xf numFmtId="164" fontId="1146" fillId="0" borderId="1237" xfId="0" applyNumberFormat="1" applyFont="1" applyBorder="1" applyAlignment="1">
      <alignment horizontal="right"/>
    </xf>
    <xf numFmtId="164" fontId="1223" fillId="0" borderId="1321" xfId="0" applyNumberFormat="1" applyFont="1" applyBorder="1" applyAlignment="1">
      <alignment horizontal="right"/>
    </xf>
    <xf numFmtId="164" fontId="1306" fillId="0" borderId="1411" xfId="0" applyNumberFormat="1" applyFont="1" applyBorder="1" applyAlignment="1">
      <alignment horizontal="right"/>
    </xf>
    <xf numFmtId="164" fontId="1062" fillId="0" borderId="1146" xfId="0" applyNumberFormat="1" applyFont="1" applyBorder="1" applyAlignment="1">
      <alignment horizontal="right"/>
    </xf>
    <xf numFmtId="164" fontId="1147" fillId="0" borderId="1238" xfId="0" applyNumberFormat="1" applyFont="1" applyBorder="1" applyAlignment="1">
      <alignment horizontal="right"/>
    </xf>
    <xf numFmtId="164" fontId="1224" fillId="0" borderId="1322" xfId="0" applyNumberFormat="1" applyFont="1" applyBorder="1" applyAlignment="1">
      <alignment horizontal="right"/>
    </xf>
    <xf numFmtId="164" fontId="1307" fillId="0" borderId="1412" xfId="0" applyNumberFormat="1" applyFont="1" applyBorder="1" applyAlignment="1">
      <alignment horizontal="right"/>
    </xf>
    <xf numFmtId="164" fontId="1063" fillId="0" borderId="1147" xfId="0" applyNumberFormat="1" applyFont="1" applyBorder="1" applyAlignment="1">
      <alignment horizontal="right"/>
    </xf>
    <xf numFmtId="164" fontId="1148" fillId="0" borderId="1239" xfId="0" applyNumberFormat="1" applyFont="1" applyBorder="1" applyAlignment="1">
      <alignment horizontal="right"/>
    </xf>
    <xf numFmtId="164" fontId="1225" fillId="0" borderId="1323" xfId="0" applyNumberFormat="1" applyFont="1" applyBorder="1" applyAlignment="1">
      <alignment horizontal="right"/>
    </xf>
    <xf numFmtId="164" fontId="1308" fillId="0" borderId="1413" xfId="0" applyNumberFormat="1" applyFont="1" applyBorder="1" applyAlignment="1">
      <alignment horizontal="right"/>
    </xf>
    <xf numFmtId="164" fontId="1064" fillId="0" borderId="1148" xfId="0" applyNumberFormat="1" applyFont="1" applyBorder="1" applyAlignment="1">
      <alignment horizontal="right"/>
    </xf>
    <xf numFmtId="164" fontId="1149" fillId="0" borderId="1240" xfId="0" applyNumberFormat="1" applyFont="1" applyBorder="1" applyAlignment="1">
      <alignment horizontal="right"/>
    </xf>
    <xf numFmtId="164" fontId="1226" fillId="0" borderId="1324" xfId="0" applyNumberFormat="1" applyFont="1" applyBorder="1" applyAlignment="1">
      <alignment horizontal="right"/>
    </xf>
    <xf numFmtId="164" fontId="1309" fillId="0" borderId="1414" xfId="0" applyNumberFormat="1" applyFont="1" applyBorder="1" applyAlignment="1">
      <alignment horizontal="right"/>
    </xf>
    <xf numFmtId="164" fontId="1065" fillId="0" borderId="1149" xfId="0" applyNumberFormat="1" applyFont="1" applyBorder="1" applyAlignment="1">
      <alignment horizontal="right"/>
    </xf>
    <xf numFmtId="164" fontId="1150" fillId="0" borderId="1241" xfId="0" applyNumberFormat="1" applyFont="1" applyBorder="1" applyAlignment="1">
      <alignment horizontal="right"/>
    </xf>
    <xf numFmtId="164" fontId="1227" fillId="0" borderId="1325" xfId="0" applyNumberFormat="1" applyFont="1" applyBorder="1" applyAlignment="1">
      <alignment horizontal="right"/>
    </xf>
    <xf numFmtId="164" fontId="1310" fillId="0" borderId="1415" xfId="0" applyNumberFormat="1" applyFont="1" applyBorder="1" applyAlignment="1">
      <alignment horizontal="right"/>
    </xf>
    <xf numFmtId="164" fontId="1" fillId="0" borderId="1150" xfId="0" applyNumberFormat="1" applyFont="1" applyBorder="1" applyAlignment="1">
      <alignment horizontal="right"/>
    </xf>
    <xf numFmtId="164" fontId="1" fillId="0" borderId="1242" xfId="0" applyNumberFormat="1" applyFont="1" applyBorder="1" applyAlignment="1">
      <alignment horizontal="right"/>
    </xf>
    <xf numFmtId="164" fontId="1" fillId="0" borderId="1326" xfId="0" applyNumberFormat="1" applyFont="1" applyBorder="1" applyAlignment="1">
      <alignment horizontal="right"/>
    </xf>
    <xf numFmtId="164" fontId="1" fillId="0" borderId="1416" xfId="0" applyNumberFormat="1" applyFont="1" applyBorder="1" applyAlignment="1">
      <alignment horizontal="right"/>
    </xf>
    <xf numFmtId="164" fontId="1" fillId="0" borderId="1151" xfId="0" applyNumberFormat="1" applyFont="1" applyBorder="1" applyAlignment="1">
      <alignment horizontal="right"/>
    </xf>
    <xf numFmtId="164" fontId="1" fillId="0" borderId="1243" xfId="0" applyNumberFormat="1" applyFont="1" applyBorder="1" applyAlignment="1">
      <alignment horizontal="right"/>
    </xf>
    <xf numFmtId="164" fontId="1" fillId="0" borderId="1327" xfId="0" applyNumberFormat="1" applyFont="1" applyBorder="1" applyAlignment="1">
      <alignment horizontal="right"/>
    </xf>
    <xf numFmtId="164" fontId="1" fillId="0" borderId="1417" xfId="0" applyNumberFormat="1" applyFont="1" applyBorder="1" applyAlignment="1">
      <alignment horizontal="right"/>
    </xf>
    <xf numFmtId="164" fontId="1" fillId="0" borderId="1152" xfId="0" applyNumberFormat="1" applyFont="1" applyBorder="1" applyAlignment="1">
      <alignment horizontal="right"/>
    </xf>
    <xf numFmtId="164" fontId="1" fillId="0" borderId="1244" xfId="0" applyNumberFormat="1" applyFont="1" applyBorder="1" applyAlignment="1">
      <alignment horizontal="right"/>
    </xf>
    <xf numFmtId="164" fontId="1" fillId="0" borderId="1328" xfId="0" applyNumberFormat="1" applyFont="1" applyBorder="1" applyAlignment="1">
      <alignment horizontal="right"/>
    </xf>
    <xf numFmtId="164" fontId="1" fillId="0" borderId="1418" xfId="0" applyNumberFormat="1" applyFont="1" applyBorder="1" applyAlignment="1">
      <alignment horizontal="right"/>
    </xf>
    <xf numFmtId="164" fontId="1" fillId="0" borderId="1153" xfId="0" applyNumberFormat="1" applyFont="1" applyBorder="1" applyAlignment="1">
      <alignment horizontal="right"/>
    </xf>
    <xf numFmtId="164" fontId="1" fillId="0" borderId="1245" xfId="0" applyNumberFormat="1" applyFont="1" applyBorder="1" applyAlignment="1">
      <alignment horizontal="right"/>
    </xf>
    <xf numFmtId="164" fontId="1" fillId="0" borderId="1329" xfId="0" applyNumberFormat="1" applyFont="1" applyBorder="1" applyAlignment="1">
      <alignment horizontal="right"/>
    </xf>
    <xf numFmtId="164" fontId="1" fillId="0" borderId="1419" xfId="0" applyNumberFormat="1" applyFont="1" applyBorder="1" applyAlignment="1">
      <alignment horizontal="right"/>
    </xf>
    <xf numFmtId="164" fontId="1" fillId="0" borderId="1154" xfId="0" applyNumberFormat="1" applyFont="1" applyBorder="1" applyAlignment="1">
      <alignment horizontal="right"/>
    </xf>
    <xf numFmtId="164" fontId="1" fillId="0" borderId="1246" xfId="0" applyNumberFormat="1" applyFont="1" applyBorder="1" applyAlignment="1">
      <alignment horizontal="right"/>
    </xf>
    <xf numFmtId="164" fontId="1" fillId="0" borderId="1330" xfId="0" applyNumberFormat="1" applyFont="1" applyBorder="1" applyAlignment="1">
      <alignment horizontal="right"/>
    </xf>
    <xf numFmtId="164" fontId="1" fillId="0" borderId="1420" xfId="0" applyNumberFormat="1" applyFont="1" applyBorder="1" applyAlignment="1">
      <alignment horizontal="right"/>
    </xf>
    <xf numFmtId="164" fontId="1" fillId="0" borderId="1155" xfId="0" applyNumberFormat="1" applyFont="1" applyBorder="1" applyAlignment="1">
      <alignment horizontal="right"/>
    </xf>
    <xf numFmtId="164" fontId="1" fillId="0" borderId="1247" xfId="0" applyNumberFormat="1" applyFont="1" applyBorder="1" applyAlignment="1">
      <alignment horizontal="right"/>
    </xf>
    <xf numFmtId="164" fontId="1" fillId="0" borderId="1331" xfId="0" applyNumberFormat="1" applyFont="1" applyBorder="1" applyAlignment="1">
      <alignment horizontal="right"/>
    </xf>
    <xf numFmtId="164" fontId="1" fillId="0" borderId="1421" xfId="0" applyNumberFormat="1" applyFont="1" applyBorder="1" applyAlignment="1">
      <alignment horizontal="right"/>
    </xf>
    <xf numFmtId="164" fontId="1" fillId="0" borderId="1156" xfId="0" applyNumberFormat="1" applyFont="1" applyBorder="1" applyAlignment="1">
      <alignment horizontal="right"/>
    </xf>
    <xf numFmtId="164" fontId="1" fillId="0" borderId="1248" xfId="0" applyNumberFormat="1" applyFont="1" applyBorder="1" applyAlignment="1">
      <alignment horizontal="right"/>
    </xf>
    <xf numFmtId="164" fontId="1" fillId="0" borderId="1332" xfId="0" applyNumberFormat="1" applyFont="1" applyBorder="1" applyAlignment="1">
      <alignment horizontal="right"/>
    </xf>
    <xf numFmtId="164" fontId="1" fillId="0" borderId="1422" xfId="0" applyNumberFormat="1" applyFont="1" applyBorder="1" applyAlignment="1">
      <alignment horizontal="right"/>
    </xf>
    <xf numFmtId="164" fontId="1066" fillId="0" borderId="1157" xfId="0" applyNumberFormat="1" applyFont="1" applyBorder="1" applyAlignment="1">
      <alignment horizontal="right"/>
    </xf>
    <xf numFmtId="164" fontId="1151" fillId="0" borderId="1249" xfId="0" applyNumberFormat="1" applyFont="1" applyBorder="1" applyAlignment="1">
      <alignment horizontal="right"/>
    </xf>
    <xf numFmtId="164" fontId="1228" fillId="0" borderId="1333" xfId="0" applyNumberFormat="1" applyFont="1" applyBorder="1" applyAlignment="1">
      <alignment horizontal="right"/>
    </xf>
    <xf numFmtId="164" fontId="1311" fillId="0" borderId="1423" xfId="0" applyNumberFormat="1" applyFont="1" applyBorder="1" applyAlignment="1">
      <alignment horizontal="right"/>
    </xf>
    <xf numFmtId="164" fontId="994" fillId="0" borderId="1078" xfId="0" applyNumberFormat="1" applyFont="1" applyBorder="1" applyAlignment="1">
      <alignment horizontal="right"/>
    </xf>
    <xf numFmtId="164" fontId="1079" fillId="0" borderId="1170" xfId="0" applyNumberFormat="1" applyFont="1" applyBorder="1" applyAlignment="1">
      <alignment horizontal="right"/>
    </xf>
    <xf numFmtId="164" fontId="1164" fillId="0" borderId="1262" xfId="0" applyNumberFormat="1" applyFont="1" applyBorder="1" applyAlignment="1">
      <alignment horizontal="right"/>
    </xf>
    <xf numFmtId="164" fontId="1239" fillId="0" borderId="1344" xfId="0" applyNumberFormat="1" applyFont="1" applyBorder="1" applyAlignment="1">
      <alignment horizontal="right"/>
    </xf>
    <xf numFmtId="164" fontId="1072" fillId="0" borderId="1163" xfId="0" applyNumberFormat="1" applyFont="1" applyBorder="1" applyAlignment="1">
      <alignment horizontal="right"/>
    </xf>
    <xf numFmtId="164" fontId="1157" fillId="0" borderId="1255" xfId="0" applyNumberFormat="1" applyFont="1" applyBorder="1" applyAlignment="1">
      <alignment horizontal="right"/>
    </xf>
    <xf numFmtId="164" fontId="1232" fillId="0" borderId="1337" xfId="0" applyNumberFormat="1" applyFont="1" applyBorder="1" applyAlignment="1">
      <alignment horizontal="right"/>
    </xf>
    <xf numFmtId="164" fontId="1317" fillId="0" borderId="1429" xfId="0" applyNumberFormat="1" applyFont="1" applyBorder="1" applyAlignment="1">
      <alignment horizontal="right"/>
    </xf>
    <xf numFmtId="164" fontId="1073" fillId="0" borderId="1164" xfId="0" applyNumberFormat="1" applyFont="1" applyBorder="1" applyAlignment="1">
      <alignment horizontal="right"/>
    </xf>
    <xf numFmtId="164" fontId="1158" fillId="0" borderId="1256" xfId="0" applyNumberFormat="1" applyFont="1" applyBorder="1" applyAlignment="1">
      <alignment horizontal="right"/>
    </xf>
    <xf numFmtId="164" fontId="1233" fillId="0" borderId="1338" xfId="0" applyNumberFormat="1" applyFont="1" applyBorder="1" applyAlignment="1">
      <alignment horizontal="right"/>
    </xf>
    <xf numFmtId="164" fontId="1318" fillId="0" borderId="1430" xfId="0" applyNumberFormat="1" applyFont="1" applyBorder="1" applyAlignment="1">
      <alignment horizontal="right"/>
    </xf>
    <xf numFmtId="164" fontId="1074" fillId="0" borderId="1165" xfId="0" applyNumberFormat="1" applyFont="1" applyBorder="1" applyAlignment="1">
      <alignment horizontal="right"/>
    </xf>
    <xf numFmtId="164" fontId="1159" fillId="0" borderId="1257" xfId="0" applyNumberFormat="1" applyFont="1" applyBorder="1" applyAlignment="1">
      <alignment horizontal="right"/>
    </xf>
    <xf numFmtId="164" fontId="1234" fillId="0" borderId="1339" xfId="0" applyNumberFormat="1" applyFont="1" applyBorder="1" applyAlignment="1">
      <alignment horizontal="right"/>
    </xf>
    <xf numFmtId="164" fontId="1319" fillId="0" borderId="1431" xfId="0" applyNumberFormat="1" applyFont="1" applyBorder="1" applyAlignment="1">
      <alignment horizontal="right"/>
    </xf>
    <xf numFmtId="164" fontId="1075" fillId="0" borderId="1166" xfId="0" applyNumberFormat="1" applyFont="1" applyBorder="1" applyAlignment="1">
      <alignment horizontal="right"/>
    </xf>
    <xf numFmtId="164" fontId="1160" fillId="0" borderId="1258" xfId="0" applyNumberFormat="1" applyFont="1" applyBorder="1" applyAlignment="1">
      <alignment horizontal="right"/>
    </xf>
    <xf numFmtId="164" fontId="1235" fillId="0" borderId="1340" xfId="0" applyNumberFormat="1" applyFont="1" applyBorder="1" applyAlignment="1">
      <alignment horizontal="right"/>
    </xf>
    <xf numFmtId="164" fontId="1320" fillId="0" borderId="1432" xfId="0" applyNumberFormat="1" applyFont="1" applyBorder="1" applyAlignment="1">
      <alignment horizontal="right"/>
    </xf>
    <xf numFmtId="164" fontId="995" fillId="0" borderId="1079" xfId="0" applyNumberFormat="1" applyFont="1" applyBorder="1" applyAlignment="1">
      <alignment horizontal="right"/>
    </xf>
    <xf numFmtId="164" fontId="1080" fillId="0" borderId="1171" xfId="0" applyNumberFormat="1" applyFont="1" applyBorder="1" applyAlignment="1">
      <alignment horizontal="right"/>
    </xf>
    <xf numFmtId="164" fontId="1165" fillId="0" borderId="1263" xfId="0" applyNumberFormat="1" applyFont="1" applyBorder="1" applyAlignment="1">
      <alignment horizontal="right"/>
    </xf>
    <xf numFmtId="164" fontId="1240" fillId="0" borderId="1345" xfId="0" applyNumberFormat="1" applyFont="1" applyBorder="1" applyAlignment="1">
      <alignment horizontal="right"/>
    </xf>
    <xf numFmtId="164" fontId="4424" fillId="0" borderId="4760" xfId="0" applyNumberFormat="1" applyFont="1" applyBorder="1" applyAlignment="1">
      <alignment horizontal="right"/>
    </xf>
    <xf numFmtId="164" fontId="4463" fillId="0" borderId="4799" xfId="0" applyNumberFormat="1" applyFont="1" applyBorder="1" applyAlignment="1">
      <alignment horizontal="right"/>
    </xf>
    <xf numFmtId="164" fontId="4500" fillId="0" borderId="4836" xfId="0" applyNumberFormat="1" applyFont="1" applyBorder="1" applyAlignment="1">
      <alignment horizontal="right"/>
    </xf>
    <xf numFmtId="164" fontId="4537" fillId="0" borderId="4873" xfId="0" applyNumberFormat="1" applyFont="1" applyBorder="1" applyAlignment="1">
      <alignment horizontal="right"/>
    </xf>
    <xf numFmtId="164" fontId="4425" fillId="0" borderId="4761" xfId="0" applyNumberFormat="1" applyFont="1" applyBorder="1" applyAlignment="1">
      <alignment horizontal="right"/>
    </xf>
    <xf numFmtId="164" fontId="4464" fillId="0" borderId="4800" xfId="0" applyNumberFormat="1" applyFont="1" applyBorder="1" applyAlignment="1">
      <alignment horizontal="right"/>
    </xf>
    <xf numFmtId="164" fontId="4501" fillId="0" borderId="4837" xfId="0" applyNumberFormat="1" applyFont="1" applyBorder="1" applyAlignment="1">
      <alignment horizontal="right"/>
    </xf>
    <xf numFmtId="164" fontId="4538" fillId="0" borderId="4874" xfId="0" applyNumberFormat="1" applyFont="1" applyBorder="1" applyAlignment="1">
      <alignment horizontal="right"/>
    </xf>
    <xf numFmtId="164" fontId="4426" fillId="0" borderId="4762" xfId="0" applyNumberFormat="1" applyFont="1" applyBorder="1" applyAlignment="1">
      <alignment horizontal="right"/>
    </xf>
    <xf numFmtId="164" fontId="4465" fillId="0" borderId="4801" xfId="0" applyNumberFormat="1" applyFont="1" applyBorder="1" applyAlignment="1">
      <alignment horizontal="right"/>
    </xf>
    <xf numFmtId="164" fontId="4502" fillId="0" borderId="4838" xfId="0" applyNumberFormat="1" applyFont="1" applyBorder="1" applyAlignment="1">
      <alignment horizontal="right"/>
    </xf>
    <xf numFmtId="164" fontId="4539" fillId="0" borderId="4875" xfId="0" applyNumberFormat="1" applyFont="1" applyBorder="1" applyAlignment="1">
      <alignment horizontal="right"/>
    </xf>
    <xf numFmtId="164" fontId="4427" fillId="0" borderId="4763" xfId="0" applyNumberFormat="1" applyFont="1" applyBorder="1" applyAlignment="1">
      <alignment horizontal="right"/>
    </xf>
    <xf numFmtId="164" fontId="4466" fillId="0" borderId="4802" xfId="0" applyNumberFormat="1" applyFont="1" applyBorder="1" applyAlignment="1">
      <alignment horizontal="right"/>
    </xf>
    <xf numFmtId="164" fontId="4503" fillId="0" borderId="4839" xfId="0" applyNumberFormat="1" applyFont="1" applyBorder="1" applyAlignment="1">
      <alignment horizontal="right"/>
    </xf>
    <xf numFmtId="164" fontId="4540" fillId="0" borderId="4876" xfId="0" applyNumberFormat="1" applyFont="1" applyBorder="1" applyAlignment="1">
      <alignment horizontal="right"/>
    </xf>
    <xf numFmtId="164" fontId="4428" fillId="0" borderId="4764" xfId="0" applyNumberFormat="1" applyFont="1" applyBorder="1" applyAlignment="1">
      <alignment horizontal="right"/>
    </xf>
    <xf numFmtId="164" fontId="4467" fillId="0" borderId="4803" xfId="0" applyNumberFormat="1" applyFont="1" applyBorder="1" applyAlignment="1">
      <alignment horizontal="right"/>
    </xf>
    <xf numFmtId="164" fontId="4504" fillId="0" borderId="4840" xfId="0" applyNumberFormat="1" applyFont="1" applyBorder="1" applyAlignment="1">
      <alignment horizontal="right"/>
    </xf>
    <xf numFmtId="164" fontId="4541" fillId="0" borderId="4877" xfId="0" applyNumberFormat="1" applyFont="1" applyBorder="1" applyAlignment="1">
      <alignment horizontal="right"/>
    </xf>
    <xf numFmtId="164" fontId="4429" fillId="0" borderId="4765" xfId="0" applyNumberFormat="1" applyFont="1" applyBorder="1" applyAlignment="1">
      <alignment horizontal="right"/>
    </xf>
    <xf numFmtId="164" fontId="4468" fillId="0" borderId="4804" xfId="0" applyNumberFormat="1" applyFont="1" applyBorder="1" applyAlignment="1">
      <alignment horizontal="right"/>
    </xf>
    <xf numFmtId="164" fontId="4505" fillId="0" borderId="4841" xfId="0" applyNumberFormat="1" applyFont="1" applyBorder="1" applyAlignment="1">
      <alignment horizontal="right"/>
    </xf>
    <xf numFmtId="164" fontId="4542" fillId="0" borderId="4878" xfId="0" applyNumberFormat="1" applyFont="1" applyBorder="1" applyAlignment="1">
      <alignment horizontal="right"/>
    </xf>
    <xf numFmtId="164" fontId="4430" fillId="0" borderId="4766" xfId="0" applyNumberFormat="1" applyFont="1" applyBorder="1" applyAlignment="1">
      <alignment horizontal="right"/>
    </xf>
    <xf numFmtId="164" fontId="4469" fillId="0" borderId="4805" xfId="0" applyNumberFormat="1" applyFont="1" applyBorder="1" applyAlignment="1">
      <alignment horizontal="right"/>
    </xf>
    <xf numFmtId="164" fontId="4506" fillId="0" borderId="4842" xfId="0" applyNumberFormat="1" applyFont="1" applyBorder="1" applyAlignment="1">
      <alignment horizontal="right"/>
    </xf>
    <xf numFmtId="164" fontId="4543" fillId="0" borderId="4879" xfId="0" applyNumberFormat="1" applyFont="1" applyBorder="1" applyAlignment="1">
      <alignment horizontal="right"/>
    </xf>
    <xf numFmtId="164" fontId="4431" fillId="0" borderId="4767" xfId="0" applyNumberFormat="1" applyFont="1" applyBorder="1" applyAlignment="1">
      <alignment horizontal="right"/>
    </xf>
    <xf numFmtId="164" fontId="4470" fillId="0" borderId="4806" xfId="0" applyNumberFormat="1" applyFont="1" applyBorder="1" applyAlignment="1">
      <alignment horizontal="right"/>
    </xf>
    <xf numFmtId="164" fontId="4507" fillId="0" borderId="4843" xfId="0" applyNumberFormat="1" applyFont="1" applyBorder="1" applyAlignment="1">
      <alignment horizontal="right"/>
    </xf>
    <xf numFmtId="164" fontId="4544" fillId="0" borderId="4880" xfId="0" applyNumberFormat="1" applyFont="1" applyBorder="1" applyAlignment="1">
      <alignment horizontal="right"/>
    </xf>
    <xf numFmtId="164" fontId="4432" fillId="0" borderId="4768" xfId="0" applyNumberFormat="1" applyFont="1" applyBorder="1" applyAlignment="1">
      <alignment horizontal="right"/>
    </xf>
    <xf numFmtId="164" fontId="4471" fillId="0" borderId="4807" xfId="0" applyNumberFormat="1" applyFont="1" applyBorder="1" applyAlignment="1">
      <alignment horizontal="right"/>
    </xf>
    <xf numFmtId="164" fontId="4508" fillId="0" borderId="4844" xfId="0" applyNumberFormat="1" applyFont="1" applyBorder="1" applyAlignment="1">
      <alignment horizontal="right"/>
    </xf>
    <xf numFmtId="164" fontId="4545" fillId="0" borderId="4881" xfId="0" applyNumberFormat="1" applyFont="1" applyBorder="1" applyAlignment="1">
      <alignment horizontal="right"/>
    </xf>
    <xf numFmtId="164" fontId="4433" fillId="0" borderId="4769" xfId="0" applyNumberFormat="1" applyFont="1" applyBorder="1" applyAlignment="1">
      <alignment horizontal="right"/>
    </xf>
    <xf numFmtId="164" fontId="4472" fillId="0" borderId="4808" xfId="0" applyNumberFormat="1" applyFont="1" applyBorder="1" applyAlignment="1">
      <alignment horizontal="right"/>
    </xf>
    <xf numFmtId="164" fontId="4509" fillId="0" borderId="4845" xfId="0" applyNumberFormat="1" applyFont="1" applyBorder="1" applyAlignment="1">
      <alignment horizontal="right"/>
    </xf>
    <xf numFmtId="164" fontId="4546" fillId="0" borderId="4882" xfId="0" applyNumberFormat="1" applyFont="1" applyBorder="1" applyAlignment="1">
      <alignment horizontal="right"/>
    </xf>
    <xf numFmtId="164" fontId="4434" fillId="0" borderId="4770" xfId="0" applyNumberFormat="1" applyFont="1" applyBorder="1" applyAlignment="1">
      <alignment horizontal="right"/>
    </xf>
    <xf numFmtId="164" fontId="4473" fillId="0" borderId="4809" xfId="0" applyNumberFormat="1" applyFont="1" applyBorder="1" applyAlignment="1">
      <alignment horizontal="right"/>
    </xf>
    <xf numFmtId="164" fontId="4510" fillId="0" borderId="4846" xfId="0" applyNumberFormat="1" applyFont="1" applyBorder="1" applyAlignment="1">
      <alignment horizontal="right"/>
    </xf>
    <xf numFmtId="164" fontId="4547" fillId="0" borderId="4883" xfId="0" applyNumberFormat="1" applyFont="1" applyBorder="1" applyAlignment="1">
      <alignment horizontal="right"/>
    </xf>
    <xf numFmtId="164" fontId="4435" fillId="0" borderId="4771" xfId="0" applyNumberFormat="1" applyFont="1" applyBorder="1" applyAlignment="1">
      <alignment horizontal="right"/>
    </xf>
    <xf numFmtId="164" fontId="4474" fillId="0" borderId="4810" xfId="0" applyNumberFormat="1" applyFont="1" applyBorder="1" applyAlignment="1">
      <alignment horizontal="right"/>
    </xf>
    <xf numFmtId="164" fontId="4511" fillId="0" borderId="4847" xfId="0" applyNumberFormat="1" applyFont="1" applyBorder="1" applyAlignment="1">
      <alignment horizontal="right"/>
    </xf>
    <xf numFmtId="164" fontId="4548" fillId="0" borderId="4884" xfId="0" applyNumberFormat="1" applyFont="1" applyBorder="1" applyAlignment="1">
      <alignment horizontal="right"/>
    </xf>
    <xf numFmtId="164" fontId="4436" fillId="0" borderId="4772" xfId="0" applyNumberFormat="1" applyFont="1" applyBorder="1" applyAlignment="1">
      <alignment horizontal="right"/>
    </xf>
    <xf numFmtId="164" fontId="4475" fillId="0" borderId="4811" xfId="0" applyNumberFormat="1" applyFont="1" applyBorder="1" applyAlignment="1">
      <alignment horizontal="right"/>
    </xf>
    <xf numFmtId="164" fontId="4512" fillId="0" borderId="4848" xfId="0" applyNumberFormat="1" applyFont="1" applyBorder="1" applyAlignment="1">
      <alignment horizontal="right"/>
    </xf>
    <xf numFmtId="164" fontId="4549" fillId="0" borderId="4885" xfId="0" applyNumberFormat="1" applyFont="1" applyBorder="1" applyAlignment="1">
      <alignment horizontal="right"/>
    </xf>
    <xf numFmtId="164" fontId="4417" fillId="0" borderId="4753" xfId="0" applyNumberFormat="1" applyFont="1" applyBorder="1" applyAlignment="1">
      <alignment horizontal="right"/>
    </xf>
    <xf numFmtId="164" fontId="4456" fillId="0" borderId="4792" xfId="0" applyNumberFormat="1" applyFont="1" applyBorder="1" applyAlignment="1">
      <alignment horizontal="right"/>
    </xf>
    <xf numFmtId="164" fontId="4495" fillId="0" borderId="4831" xfId="0" applyNumberFormat="1" applyFont="1" applyBorder="1" applyAlignment="1">
      <alignment horizontal="right"/>
    </xf>
    <xf numFmtId="164" fontId="4530" fillId="0" borderId="4866" xfId="0" applyNumberFormat="1" applyFont="1" applyBorder="1" applyAlignment="1">
      <alignment horizontal="right"/>
    </xf>
    <xf numFmtId="164" fontId="4442" fillId="0" borderId="4778" xfId="0" applyNumberFormat="1" applyFont="1" applyBorder="1" applyAlignment="1">
      <alignment horizontal="right"/>
    </xf>
    <xf numFmtId="164" fontId="4481" fillId="0" borderId="4817" xfId="0" applyNumberFormat="1" applyFont="1" applyBorder="1" applyAlignment="1">
      <alignment horizontal="right"/>
    </xf>
    <xf numFmtId="164" fontId="4516" fillId="0" borderId="4852" xfId="0" applyNumberFormat="1" applyFont="1" applyBorder="1" applyAlignment="1">
      <alignment horizontal="right"/>
    </xf>
    <xf numFmtId="164" fontId="4555" fillId="0" borderId="4891" xfId="0" applyNumberFormat="1" applyFont="1" applyBorder="1" applyAlignment="1">
      <alignment horizontal="right"/>
    </xf>
    <xf numFmtId="164" fontId="4443" fillId="0" borderId="4779" xfId="0" applyNumberFormat="1" applyFont="1" applyBorder="1" applyAlignment="1">
      <alignment horizontal="right"/>
    </xf>
    <xf numFmtId="164" fontId="4482" fillId="0" borderId="4818" xfId="0" applyNumberFormat="1" applyFont="1" applyBorder="1" applyAlignment="1">
      <alignment horizontal="right"/>
    </xf>
    <xf numFmtId="164" fontId="4517" fillId="0" borderId="4853" xfId="0" applyNumberFormat="1" applyFont="1" applyBorder="1" applyAlignment="1">
      <alignment horizontal="right"/>
    </xf>
    <xf numFmtId="164" fontId="4556" fillId="0" borderId="4892" xfId="0" applyNumberFormat="1" applyFont="1" applyBorder="1" applyAlignment="1">
      <alignment horizontal="right"/>
    </xf>
    <xf numFmtId="164" fontId="4444" fillId="0" borderId="4780" xfId="0" applyNumberFormat="1" applyFont="1" applyBorder="1" applyAlignment="1">
      <alignment horizontal="right"/>
    </xf>
    <xf numFmtId="164" fontId="4483" fillId="0" borderId="4819" xfId="0" applyNumberFormat="1" applyFont="1" applyBorder="1" applyAlignment="1">
      <alignment horizontal="right"/>
    </xf>
    <xf numFmtId="164" fontId="4518" fillId="0" borderId="4854" xfId="0" applyNumberFormat="1" applyFont="1" applyBorder="1" applyAlignment="1">
      <alignment horizontal="right"/>
    </xf>
    <xf numFmtId="164" fontId="4557" fillId="0" borderId="4893" xfId="0" applyNumberFormat="1" applyFont="1" applyBorder="1" applyAlignment="1">
      <alignment horizontal="right"/>
    </xf>
    <xf numFmtId="164" fontId="4445" fillId="0" borderId="4781" xfId="0" applyNumberFormat="1" applyFont="1" applyBorder="1" applyAlignment="1">
      <alignment horizontal="right"/>
    </xf>
    <xf numFmtId="164" fontId="4484" fillId="0" borderId="4820" xfId="0" applyNumberFormat="1" applyFont="1" applyBorder="1" applyAlignment="1">
      <alignment horizontal="right"/>
    </xf>
    <xf numFmtId="164" fontId="4519" fillId="0" borderId="4855" xfId="0" applyNumberFormat="1" applyFont="1" applyBorder="1" applyAlignment="1">
      <alignment horizontal="right"/>
    </xf>
    <xf numFmtId="164" fontId="4558" fillId="0" borderId="4894" xfId="0" applyNumberFormat="1" applyFont="1" applyBorder="1" applyAlignment="1">
      <alignment horizontal="right"/>
    </xf>
    <xf numFmtId="164" fontId="4446" fillId="0" borderId="4782" xfId="0" applyNumberFormat="1" applyFont="1" applyBorder="1" applyAlignment="1">
      <alignment horizontal="right"/>
    </xf>
    <xf numFmtId="164" fontId="4485" fillId="0" borderId="4821" xfId="0" applyNumberFormat="1" applyFont="1" applyBorder="1" applyAlignment="1">
      <alignment horizontal="right"/>
    </xf>
    <xf numFmtId="164" fontId="4520" fillId="0" borderId="4856" xfId="0" applyNumberFormat="1" applyFont="1" applyBorder="1" applyAlignment="1">
      <alignment horizontal="right"/>
    </xf>
    <xf numFmtId="164" fontId="4559" fillId="0" borderId="4895" xfId="0" applyNumberFormat="1" applyFont="1" applyBorder="1" applyAlignment="1">
      <alignment horizontal="right"/>
    </xf>
    <xf numFmtId="164" fontId="4447" fillId="0" borderId="4783" xfId="0" applyNumberFormat="1" applyFont="1" applyBorder="1" applyAlignment="1">
      <alignment horizontal="right"/>
    </xf>
    <xf numFmtId="164" fontId="4486" fillId="0" borderId="4822" xfId="0" applyNumberFormat="1" applyFont="1" applyBorder="1" applyAlignment="1">
      <alignment horizontal="right"/>
    </xf>
    <xf numFmtId="164" fontId="4521" fillId="0" borderId="4857" xfId="0" applyNumberFormat="1" applyFont="1" applyBorder="1" applyAlignment="1">
      <alignment horizontal="right"/>
    </xf>
    <xf numFmtId="164" fontId="4560" fillId="0" borderId="4896" xfId="0" applyNumberFormat="1" applyFont="1" applyBorder="1" applyAlignment="1">
      <alignment horizontal="right"/>
    </xf>
    <xf numFmtId="164" fontId="4448" fillId="0" borderId="4784" xfId="0" applyNumberFormat="1" applyFont="1" applyBorder="1" applyAlignment="1">
      <alignment horizontal="right"/>
    </xf>
    <xf numFmtId="164" fontId="4487" fillId="0" borderId="4823" xfId="0" applyNumberFormat="1" applyFont="1" applyBorder="1" applyAlignment="1">
      <alignment horizontal="right"/>
    </xf>
    <xf numFmtId="164" fontId="4522" fillId="0" borderId="4858" xfId="0" applyNumberFormat="1" applyFont="1" applyBorder="1" applyAlignment="1">
      <alignment horizontal="right"/>
    </xf>
    <xf numFmtId="164" fontId="4561" fillId="0" borderId="4897" xfId="0" applyNumberFormat="1" applyFont="1" applyBorder="1" applyAlignment="1">
      <alignment horizontal="right"/>
    </xf>
    <xf numFmtId="164" fontId="4449" fillId="0" borderId="4785" xfId="0" applyNumberFormat="1" applyFont="1" applyBorder="1" applyAlignment="1">
      <alignment horizontal="right"/>
    </xf>
    <xf numFmtId="164" fontId="4488" fillId="0" borderId="4824" xfId="0" applyNumberFormat="1" applyFont="1" applyBorder="1" applyAlignment="1">
      <alignment horizontal="right"/>
    </xf>
    <xf numFmtId="164" fontId="4523" fillId="0" borderId="4859" xfId="0" applyNumberFormat="1" applyFont="1" applyBorder="1" applyAlignment="1">
      <alignment horizontal="right"/>
    </xf>
    <xf numFmtId="164" fontId="4562" fillId="0" borderId="4898" xfId="0" applyNumberFormat="1" applyFont="1" applyBorder="1" applyAlignment="1">
      <alignment horizontal="right"/>
    </xf>
    <xf numFmtId="164" fontId="4450" fillId="0" borderId="4786" xfId="0" applyNumberFormat="1" applyFont="1" applyBorder="1" applyAlignment="1">
      <alignment horizontal="right"/>
    </xf>
    <xf numFmtId="164" fontId="4489" fillId="0" borderId="4825" xfId="0" applyNumberFormat="1" applyFont="1" applyBorder="1" applyAlignment="1">
      <alignment horizontal="right"/>
    </xf>
    <xf numFmtId="164" fontId="4524" fillId="0" borderId="4860" xfId="0" applyNumberFormat="1" applyFont="1" applyBorder="1" applyAlignment="1">
      <alignment horizontal="right"/>
    </xf>
    <xf numFmtId="164" fontId="4563" fillId="0" borderId="4899" xfId="0" applyNumberFormat="1" applyFont="1" applyBorder="1" applyAlignment="1">
      <alignment horizontal="right"/>
    </xf>
    <xf numFmtId="164" fontId="4451" fillId="0" borderId="4787" xfId="0" applyNumberFormat="1" applyFont="1" applyBorder="1" applyAlignment="1">
      <alignment horizontal="right"/>
    </xf>
    <xf numFmtId="164" fontId="4490" fillId="0" borderId="4826" xfId="0" applyNumberFormat="1" applyFont="1" applyBorder="1" applyAlignment="1">
      <alignment horizontal="right"/>
    </xf>
    <xf numFmtId="164" fontId="4525" fillId="0" borderId="4861" xfId="0" applyNumberFormat="1" applyFont="1" applyBorder="1" applyAlignment="1">
      <alignment horizontal="right"/>
    </xf>
    <xf numFmtId="164" fontId="4564" fillId="0" borderId="4900" xfId="0" applyNumberFormat="1" applyFont="1" applyBorder="1" applyAlignment="1">
      <alignment horizontal="right"/>
    </xf>
    <xf numFmtId="164" fontId="4452" fillId="0" borderId="4788" xfId="0" applyNumberFormat="1" applyFont="1" applyBorder="1" applyAlignment="1">
      <alignment horizontal="right"/>
    </xf>
    <xf numFmtId="164" fontId="4491" fillId="0" borderId="4827" xfId="0" applyNumberFormat="1" applyFont="1" applyBorder="1" applyAlignment="1">
      <alignment horizontal="right"/>
    </xf>
    <xf numFmtId="164" fontId="4526" fillId="0" borderId="4862" xfId="0" applyNumberFormat="1" applyFont="1" applyBorder="1" applyAlignment="1">
      <alignment horizontal="right"/>
    </xf>
    <xf numFmtId="164" fontId="4565" fillId="0" borderId="4901" xfId="0" applyNumberFormat="1" applyFont="1" applyBorder="1" applyAlignment="1">
      <alignment horizontal="right"/>
    </xf>
    <xf numFmtId="164" fontId="4453" fillId="0" borderId="4789" xfId="0" applyNumberFormat="1" applyFont="1" applyBorder="1" applyAlignment="1">
      <alignment horizontal="right"/>
    </xf>
    <xf numFmtId="164" fontId="4492" fillId="0" borderId="4828" xfId="0" applyNumberFormat="1" applyFont="1" applyBorder="1" applyAlignment="1">
      <alignment horizontal="right"/>
    </xf>
    <xf numFmtId="164" fontId="4527" fillId="0" borderId="4863" xfId="0" applyNumberFormat="1" applyFont="1" applyBorder="1" applyAlignment="1">
      <alignment horizontal="right"/>
    </xf>
    <xf numFmtId="164" fontId="4566" fillId="0" borderId="4902" xfId="0" applyNumberFormat="1" applyFont="1" applyBorder="1" applyAlignment="1">
      <alignment horizontal="right"/>
    </xf>
    <xf numFmtId="164" fontId="4454" fillId="0" borderId="4790" xfId="0" applyNumberFormat="1" applyFont="1" applyBorder="1" applyAlignment="1">
      <alignment horizontal="right"/>
    </xf>
    <xf numFmtId="164" fontId="4493" fillId="0" borderId="4829" xfId="0" applyNumberFormat="1" applyFont="1" applyBorder="1" applyAlignment="1">
      <alignment horizontal="right"/>
    </xf>
    <xf numFmtId="164" fontId="4528" fillId="0" borderId="4864" xfId="0" applyNumberFormat="1" applyFont="1" applyBorder="1" applyAlignment="1">
      <alignment horizontal="right"/>
    </xf>
    <xf numFmtId="164" fontId="4567" fillId="0" borderId="4903" xfId="0" applyNumberFormat="1" applyFont="1" applyBorder="1" applyAlignment="1">
      <alignment horizontal="right"/>
    </xf>
    <xf numFmtId="164" fontId="4455" fillId="0" borderId="4791" xfId="0" applyNumberFormat="1" applyFont="1" applyBorder="1" applyAlignment="1">
      <alignment horizontal="right"/>
    </xf>
    <xf numFmtId="164" fontId="4494" fillId="0" borderId="4830" xfId="0" applyNumberFormat="1" applyFont="1" applyBorder="1" applyAlignment="1">
      <alignment horizontal="right"/>
    </xf>
    <xf numFmtId="164" fontId="4529" fillId="0" borderId="4865" xfId="0" applyNumberFormat="1" applyFont="1" applyBorder="1" applyAlignment="1">
      <alignment horizontal="right"/>
    </xf>
    <xf numFmtId="164" fontId="4568" fillId="0" borderId="4904" xfId="0" applyNumberFormat="1" applyFont="1" applyBorder="1" applyAlignment="1">
      <alignment horizontal="right"/>
    </xf>
    <xf numFmtId="164" fontId="4418" fillId="0" borderId="4754" xfId="0" applyNumberFormat="1" applyFont="1" applyBorder="1" applyAlignment="1">
      <alignment horizontal="right"/>
    </xf>
    <xf numFmtId="164" fontId="4457" fillId="0" borderId="4793" xfId="0" applyNumberFormat="1" applyFont="1" applyBorder="1" applyAlignment="1">
      <alignment horizontal="right"/>
    </xf>
    <xf numFmtId="164" fontId="4496" fillId="0" borderId="4832" xfId="0" applyNumberFormat="1" applyFont="1" applyBorder="1" applyAlignment="1">
      <alignment horizontal="right"/>
    </xf>
    <xf numFmtId="164" fontId="4531" fillId="0" borderId="4867" xfId="0" applyNumberFormat="1" applyFont="1" applyBorder="1" applyAlignment="1">
      <alignment horizontal="right"/>
    </xf>
    <xf numFmtId="164" fontId="671" fillId="0" borderId="727" xfId="0" applyNumberFormat="1" applyFont="1" applyBorder="1" applyAlignment="1">
      <alignment horizontal="right"/>
    </xf>
    <xf numFmtId="164" fontId="756" fillId="0" borderId="819" xfId="0" applyNumberFormat="1" applyFont="1" applyBorder="1" applyAlignment="1">
      <alignment horizontal="right"/>
    </xf>
    <xf numFmtId="164" fontId="839" fillId="0" borderId="909" xfId="0" applyNumberFormat="1" applyFont="1" applyBorder="1" applyAlignment="1">
      <alignment horizontal="right"/>
    </xf>
    <xf numFmtId="164" fontId="916" fillId="0" borderId="993" xfId="0" applyNumberFormat="1" applyFont="1" applyBorder="1" applyAlignment="1">
      <alignment horizontal="right"/>
    </xf>
    <xf numFmtId="164" fontId="672" fillId="0" borderId="728" xfId="0" applyNumberFormat="1" applyFont="1" applyBorder="1" applyAlignment="1">
      <alignment horizontal="right"/>
    </xf>
    <xf numFmtId="164" fontId="757" fillId="0" borderId="820" xfId="0" applyNumberFormat="1" applyFont="1" applyBorder="1" applyAlignment="1">
      <alignment horizontal="right"/>
    </xf>
    <xf numFmtId="164" fontId="840" fillId="0" borderId="910" xfId="0" applyNumberFormat="1" applyFont="1" applyBorder="1" applyAlignment="1">
      <alignment horizontal="right"/>
    </xf>
    <xf numFmtId="164" fontId="917" fillId="0" borderId="994" xfId="0" applyNumberFormat="1" applyFont="1" applyBorder="1" applyAlignment="1">
      <alignment horizontal="right"/>
    </xf>
    <xf numFmtId="164" fontId="673" fillId="0" borderId="729" xfId="0" applyNumberFormat="1" applyFont="1" applyBorder="1" applyAlignment="1">
      <alignment horizontal="right"/>
    </xf>
    <xf numFmtId="164" fontId="758" fillId="0" borderId="821" xfId="0" applyNumberFormat="1" applyFont="1" applyBorder="1" applyAlignment="1">
      <alignment horizontal="right"/>
    </xf>
    <xf numFmtId="164" fontId="841" fillId="0" borderId="911" xfId="0" applyNumberFormat="1" applyFont="1" applyBorder="1" applyAlignment="1">
      <alignment horizontal="right"/>
    </xf>
    <xf numFmtId="164" fontId="918" fillId="0" borderId="995" xfId="0" applyNumberFormat="1" applyFont="1" applyBorder="1" applyAlignment="1">
      <alignment horizontal="right"/>
    </xf>
    <xf numFmtId="164" fontId="674" fillId="0" borderId="730" xfId="0" applyNumberFormat="1" applyFont="1" applyBorder="1" applyAlignment="1">
      <alignment horizontal="right"/>
    </xf>
    <xf numFmtId="164" fontId="759" fillId="0" borderId="822" xfId="0" applyNumberFormat="1" applyFont="1" applyBorder="1" applyAlignment="1">
      <alignment horizontal="right"/>
    </xf>
    <xf numFmtId="164" fontId="842" fillId="0" borderId="912" xfId="0" applyNumberFormat="1" applyFont="1" applyBorder="1" applyAlignment="1">
      <alignment horizontal="right"/>
    </xf>
    <xf numFmtId="164" fontId="919" fillId="0" borderId="996" xfId="0" applyNumberFormat="1" applyFont="1" applyBorder="1" applyAlignment="1">
      <alignment horizontal="right"/>
    </xf>
    <xf numFmtId="164" fontId="675" fillId="0" borderId="731" xfId="0" applyNumberFormat="1" applyFont="1" applyBorder="1" applyAlignment="1">
      <alignment horizontal="right"/>
    </xf>
    <xf numFmtId="164" fontId="760" fillId="0" borderId="823" xfId="0" applyNumberFormat="1" applyFont="1" applyBorder="1" applyAlignment="1">
      <alignment horizontal="right"/>
    </xf>
    <xf numFmtId="164" fontId="843" fillId="0" borderId="913" xfId="0" applyNumberFormat="1" applyFont="1" applyBorder="1" applyAlignment="1">
      <alignment horizontal="right"/>
    </xf>
    <xf numFmtId="164" fontId="920" fillId="0" borderId="997" xfId="0" applyNumberFormat="1" applyFont="1" applyBorder="1" applyAlignment="1">
      <alignment horizontal="right"/>
    </xf>
    <xf numFmtId="164" fontId="676" fillId="0" borderId="732" xfId="0" applyNumberFormat="1" applyFont="1" applyBorder="1" applyAlignment="1">
      <alignment horizontal="right"/>
    </xf>
    <xf numFmtId="164" fontId="761" fillId="0" borderId="824" xfId="0" applyNumberFormat="1" applyFont="1" applyBorder="1" applyAlignment="1">
      <alignment horizontal="right"/>
    </xf>
    <xf numFmtId="164" fontId="844" fillId="0" borderId="914" xfId="0" applyNumberFormat="1" applyFont="1" applyBorder="1" applyAlignment="1">
      <alignment horizontal="right"/>
    </xf>
    <xf numFmtId="164" fontId="921" fillId="0" borderId="998" xfId="0" applyNumberFormat="1" applyFont="1" applyBorder="1" applyAlignment="1">
      <alignment horizontal="right"/>
    </xf>
    <xf numFmtId="164" fontId="677" fillId="0" borderId="733" xfId="0" applyNumberFormat="1" applyFont="1" applyBorder="1" applyAlignment="1">
      <alignment horizontal="right"/>
    </xf>
    <xf numFmtId="164" fontId="762" fillId="0" borderId="825" xfId="0" applyNumberFormat="1" applyFont="1" applyBorder="1" applyAlignment="1">
      <alignment horizontal="right"/>
    </xf>
    <xf numFmtId="164" fontId="845" fillId="0" borderId="915" xfId="0" applyNumberFormat="1" applyFont="1" applyBorder="1" applyAlignment="1">
      <alignment horizontal="right"/>
    </xf>
    <xf numFmtId="164" fontId="922" fillId="0" borderId="999" xfId="0" applyNumberFormat="1" applyFont="1" applyBorder="1" applyAlignment="1">
      <alignment horizontal="right"/>
    </xf>
    <xf numFmtId="164" fontId="678" fillId="0" borderId="734" xfId="0" applyNumberFormat="1" applyFont="1" applyBorder="1" applyAlignment="1">
      <alignment horizontal="right"/>
    </xf>
    <xf numFmtId="164" fontId="763" fillId="0" borderId="826" xfId="0" applyNumberFormat="1" applyFont="1" applyBorder="1" applyAlignment="1">
      <alignment horizontal="right"/>
    </xf>
    <xf numFmtId="164" fontId="846" fillId="0" borderId="916" xfId="0" applyNumberFormat="1" applyFont="1" applyBorder="1" applyAlignment="1">
      <alignment horizontal="right"/>
    </xf>
    <xf numFmtId="164" fontId="923" fillId="0" borderId="1000" xfId="0" applyNumberFormat="1" applyFont="1" applyBorder="1" applyAlignment="1">
      <alignment horizontal="right"/>
    </xf>
    <xf numFmtId="164" fontId="679" fillId="0" borderId="735" xfId="0" applyNumberFormat="1" applyFont="1" applyBorder="1" applyAlignment="1">
      <alignment horizontal="right"/>
    </xf>
    <xf numFmtId="164" fontId="764" fillId="0" borderId="827" xfId="0" applyNumberFormat="1" applyFont="1" applyBorder="1" applyAlignment="1">
      <alignment horizontal="right"/>
    </xf>
    <xf numFmtId="164" fontId="847" fillId="0" borderId="917" xfId="0" applyNumberFormat="1" applyFont="1" applyBorder="1" applyAlignment="1">
      <alignment horizontal="right"/>
    </xf>
    <xf numFmtId="164" fontId="924" fillId="0" borderId="1001" xfId="0" applyNumberFormat="1" applyFont="1" applyBorder="1" applyAlignment="1">
      <alignment horizontal="right"/>
    </xf>
    <xf numFmtId="164" fontId="680" fillId="0" borderId="736" xfId="0" applyNumberFormat="1" applyFont="1" applyBorder="1" applyAlignment="1">
      <alignment horizontal="right"/>
    </xf>
    <xf numFmtId="164" fontId="765" fillId="0" borderId="828" xfId="0" applyNumberFormat="1" applyFont="1" applyBorder="1" applyAlignment="1">
      <alignment horizontal="right"/>
    </xf>
    <xf numFmtId="164" fontId="848" fillId="0" borderId="918" xfId="0" applyNumberFormat="1" applyFont="1" applyBorder="1" applyAlignment="1">
      <alignment horizontal="right"/>
    </xf>
    <xf numFmtId="164" fontId="925" fillId="0" borderId="1002" xfId="0" applyNumberFormat="1" applyFont="1" applyBorder="1" applyAlignment="1">
      <alignment horizontal="right"/>
    </xf>
    <xf numFmtId="164" fontId="681" fillId="0" borderId="737" xfId="0" applyNumberFormat="1" applyFont="1" applyBorder="1" applyAlignment="1">
      <alignment horizontal="right"/>
    </xf>
    <xf numFmtId="164" fontId="766" fillId="0" borderId="829" xfId="0" applyNumberFormat="1" applyFont="1" applyBorder="1" applyAlignment="1">
      <alignment horizontal="right"/>
    </xf>
    <xf numFmtId="164" fontId="849" fillId="0" borderId="919" xfId="0" applyNumberFormat="1" applyFont="1" applyBorder="1" applyAlignment="1">
      <alignment horizontal="right"/>
    </xf>
    <xf numFmtId="164" fontId="926" fillId="0" borderId="1003" xfId="0" applyNumberFormat="1" applyFont="1" applyBorder="1" applyAlignment="1">
      <alignment horizontal="right"/>
    </xf>
    <xf numFmtId="164" fontId="682" fillId="0" borderId="738" xfId="0" applyNumberFormat="1" applyFont="1" applyBorder="1" applyAlignment="1">
      <alignment horizontal="right"/>
    </xf>
    <xf numFmtId="164" fontId="767" fillId="0" borderId="830" xfId="0" applyNumberFormat="1" applyFont="1" applyBorder="1" applyAlignment="1">
      <alignment horizontal="right"/>
    </xf>
    <xf numFmtId="164" fontId="850" fillId="0" borderId="920" xfId="0" applyNumberFormat="1" applyFont="1" applyBorder="1" applyAlignment="1">
      <alignment horizontal="right"/>
    </xf>
    <xf numFmtId="164" fontId="927" fillId="0" borderId="1004" xfId="0" applyNumberFormat="1" applyFont="1" applyBorder="1" applyAlignment="1">
      <alignment horizontal="right"/>
    </xf>
    <xf numFmtId="164" fontId="683" fillId="0" borderId="739" xfId="0" applyNumberFormat="1" applyFont="1" applyBorder="1" applyAlignment="1">
      <alignment horizontal="right"/>
    </xf>
    <xf numFmtId="164" fontId="768" fillId="0" borderId="831" xfId="0" applyNumberFormat="1" applyFont="1" applyBorder="1" applyAlignment="1">
      <alignment horizontal="right"/>
    </xf>
    <xf numFmtId="164" fontId="851" fillId="0" borderId="921" xfId="0" applyNumberFormat="1" applyFont="1" applyBorder="1" applyAlignment="1">
      <alignment horizontal="right"/>
    </xf>
    <xf numFmtId="164" fontId="928" fillId="0" borderId="1005" xfId="0" applyNumberFormat="1" applyFont="1" applyBorder="1" applyAlignment="1">
      <alignment horizontal="right"/>
    </xf>
    <xf numFmtId="164" fontId="684" fillId="0" borderId="740" xfId="0" applyNumberFormat="1" applyFont="1" applyBorder="1" applyAlignment="1">
      <alignment horizontal="right"/>
    </xf>
    <xf numFmtId="164" fontId="769" fillId="0" borderId="832" xfId="0" applyNumberFormat="1" applyFont="1" applyBorder="1" applyAlignment="1">
      <alignment horizontal="right"/>
    </xf>
    <xf numFmtId="164" fontId="852" fillId="0" borderId="922" xfId="0" applyNumberFormat="1" applyFont="1" applyBorder="1" applyAlignment="1">
      <alignment horizontal="right"/>
    </xf>
    <xf numFmtId="164" fontId="929" fillId="0" borderId="1006" xfId="0" applyNumberFormat="1" applyFont="1" applyBorder="1" applyAlignment="1">
      <alignment horizontal="right"/>
    </xf>
    <xf numFmtId="164" fontId="685" fillId="0" borderId="741" xfId="0" applyNumberFormat="1" applyFont="1" applyBorder="1" applyAlignment="1">
      <alignment horizontal="right"/>
    </xf>
    <xf numFmtId="164" fontId="770" fillId="0" borderId="833" xfId="0" applyNumberFormat="1" applyFont="1" applyBorder="1" applyAlignment="1">
      <alignment horizontal="right"/>
    </xf>
    <xf numFmtId="164" fontId="853" fillId="0" borderId="923" xfId="0" applyNumberFormat="1" applyFont="1" applyBorder="1" applyAlignment="1">
      <alignment horizontal="right"/>
    </xf>
    <xf numFmtId="164" fontId="930" fillId="0" borderId="1007" xfId="0" applyNumberFormat="1" applyFont="1" applyBorder="1" applyAlignment="1">
      <alignment horizontal="right"/>
    </xf>
    <xf numFmtId="164" fontId="661" fillId="0" borderId="717" xfId="0" applyNumberFormat="1" applyFont="1" applyBorder="1" applyAlignment="1">
      <alignment horizontal="right"/>
    </xf>
    <xf numFmtId="164" fontId="746" fillId="0" borderId="809" xfId="0" applyNumberFormat="1" applyFont="1" applyBorder="1" applyAlignment="1">
      <alignment horizontal="right"/>
    </xf>
    <xf numFmtId="164" fontId="831" fillId="0" borderId="901" xfId="0" applyNumberFormat="1" applyFont="1" applyBorder="1" applyAlignment="1">
      <alignment horizontal="right"/>
    </xf>
    <xf numFmtId="164" fontId="906" fillId="0" borderId="983" xfId="0" applyNumberFormat="1" applyFont="1" applyBorder="1" applyAlignment="1">
      <alignment horizontal="right"/>
    </xf>
    <xf numFmtId="164" fontId="691" fillId="0" borderId="747" xfId="0" applyNumberFormat="1" applyFont="1" applyBorder="1" applyAlignment="1">
      <alignment horizontal="right"/>
    </xf>
    <xf numFmtId="164" fontId="776" fillId="0" borderId="839" xfId="0" applyNumberFormat="1" applyFont="1" applyBorder="1" applyAlignment="1">
      <alignment horizontal="right"/>
    </xf>
    <xf numFmtId="164" fontId="857" fillId="0" borderId="927" xfId="0" applyNumberFormat="1" applyFont="1" applyBorder="1" applyAlignment="1">
      <alignment horizontal="right"/>
    </xf>
    <xf numFmtId="164" fontId="936" fillId="0" borderId="1013" xfId="0" applyNumberFormat="1" applyFont="1" applyBorder="1" applyAlignment="1">
      <alignment horizontal="right"/>
    </xf>
    <xf numFmtId="164" fontId="692" fillId="0" borderId="748" xfId="0" applyNumberFormat="1" applyFont="1" applyBorder="1" applyAlignment="1">
      <alignment horizontal="right"/>
    </xf>
    <xf numFmtId="164" fontId="777" fillId="0" borderId="840" xfId="0" applyNumberFormat="1" applyFont="1" applyBorder="1" applyAlignment="1">
      <alignment horizontal="right"/>
    </xf>
    <xf numFmtId="164" fontId="858" fillId="0" borderId="928" xfId="0" applyNumberFormat="1" applyFont="1" applyBorder="1" applyAlignment="1">
      <alignment horizontal="right"/>
    </xf>
    <xf numFmtId="164" fontId="937" fillId="0" borderId="1014" xfId="0" applyNumberFormat="1" applyFont="1" applyBorder="1" applyAlignment="1">
      <alignment horizontal="right"/>
    </xf>
    <xf numFmtId="164" fontId="693" fillId="0" borderId="749" xfId="0" applyNumberFormat="1" applyFont="1" applyBorder="1" applyAlignment="1">
      <alignment horizontal="right"/>
    </xf>
    <xf numFmtId="164" fontId="778" fillId="0" borderId="841" xfId="0" applyNumberFormat="1" applyFont="1" applyBorder="1" applyAlignment="1">
      <alignment horizontal="right"/>
    </xf>
    <xf numFmtId="164" fontId="859" fillId="0" borderId="929" xfId="0" applyNumberFormat="1" applyFont="1" applyBorder="1" applyAlignment="1">
      <alignment horizontal="right"/>
    </xf>
    <xf numFmtId="164" fontId="938" fillId="0" borderId="1015" xfId="0" applyNumberFormat="1" applyFont="1" applyBorder="1" applyAlignment="1">
      <alignment horizontal="right"/>
    </xf>
    <xf numFmtId="164" fontId="694" fillId="0" borderId="750" xfId="0" applyNumberFormat="1" applyFont="1" applyBorder="1" applyAlignment="1">
      <alignment horizontal="right"/>
    </xf>
    <xf numFmtId="164" fontId="779" fillId="0" borderId="842" xfId="0" applyNumberFormat="1" applyFont="1" applyBorder="1" applyAlignment="1">
      <alignment horizontal="right"/>
    </xf>
    <xf numFmtId="164" fontId="860" fillId="0" borderId="930" xfId="0" applyNumberFormat="1" applyFont="1" applyBorder="1" applyAlignment="1">
      <alignment horizontal="right"/>
    </xf>
    <xf numFmtId="164" fontId="939" fillId="0" borderId="1016" xfId="0" applyNumberFormat="1" applyFont="1" applyBorder="1" applyAlignment="1">
      <alignment horizontal="right"/>
    </xf>
    <xf numFmtId="164" fontId="695" fillId="0" borderId="751" xfId="0" applyNumberFormat="1" applyFont="1" applyBorder="1" applyAlignment="1">
      <alignment horizontal="right"/>
    </xf>
    <xf numFmtId="164" fontId="780" fillId="0" borderId="843" xfId="0" applyNumberFormat="1" applyFont="1" applyBorder="1" applyAlignment="1">
      <alignment horizontal="right"/>
    </xf>
    <xf numFmtId="164" fontId="861" fillId="0" borderId="931" xfId="0" applyNumberFormat="1" applyFont="1" applyBorder="1" applyAlignment="1">
      <alignment horizontal="right"/>
    </xf>
    <xf numFmtId="164" fontId="940" fillId="0" borderId="1017" xfId="0" applyNumberFormat="1" applyFont="1" applyBorder="1" applyAlignment="1">
      <alignment horizontal="right"/>
    </xf>
    <xf numFmtId="164" fontId="696" fillId="0" borderId="752" xfId="0" applyNumberFormat="1" applyFont="1" applyBorder="1" applyAlignment="1">
      <alignment horizontal="right"/>
    </xf>
    <xf numFmtId="164" fontId="781" fillId="0" borderId="844" xfId="0" applyNumberFormat="1" applyFont="1" applyBorder="1" applyAlignment="1">
      <alignment horizontal="right"/>
    </xf>
    <xf numFmtId="164" fontId="862" fillId="0" borderId="932" xfId="0" applyNumberFormat="1" applyFont="1" applyBorder="1" applyAlignment="1">
      <alignment horizontal="right"/>
    </xf>
    <xf numFmtId="164" fontId="941" fillId="0" borderId="1018" xfId="0" applyNumberFormat="1" applyFont="1" applyBorder="1" applyAlignment="1">
      <alignment horizontal="right"/>
    </xf>
    <xf numFmtId="164" fontId="697" fillId="0" borderId="753" xfId="0" applyNumberFormat="1" applyFont="1" applyBorder="1" applyAlignment="1">
      <alignment horizontal="right"/>
    </xf>
    <xf numFmtId="164" fontId="782" fillId="0" borderId="845" xfId="0" applyNumberFormat="1" applyFont="1" applyBorder="1" applyAlignment="1">
      <alignment horizontal="right"/>
    </xf>
    <xf numFmtId="164" fontId="863" fillId="0" borderId="933" xfId="0" applyNumberFormat="1" applyFont="1" applyBorder="1" applyAlignment="1">
      <alignment horizontal="right"/>
    </xf>
    <xf numFmtId="164" fontId="942" fillId="0" borderId="1019" xfId="0" applyNumberFormat="1" applyFont="1" applyBorder="1" applyAlignment="1">
      <alignment horizontal="right"/>
    </xf>
    <xf numFmtId="164" fontId="698" fillId="0" borderId="754" xfId="0" applyNumberFormat="1" applyFont="1" applyBorder="1" applyAlignment="1">
      <alignment horizontal="right"/>
    </xf>
    <xf numFmtId="164" fontId="783" fillId="0" borderId="846" xfId="0" applyNumberFormat="1" applyFont="1" applyBorder="1" applyAlignment="1">
      <alignment horizontal="right"/>
    </xf>
    <xf numFmtId="164" fontId="864" fillId="0" borderId="934" xfId="0" applyNumberFormat="1" applyFont="1" applyBorder="1" applyAlignment="1">
      <alignment horizontal="right"/>
    </xf>
    <xf numFmtId="164" fontId="943" fillId="0" borderId="1020" xfId="0" applyNumberFormat="1" applyFont="1" applyBorder="1" applyAlignment="1">
      <alignment horizontal="right"/>
    </xf>
    <xf numFmtId="164" fontId="699" fillId="0" borderId="755" xfId="0" applyNumberFormat="1" applyFont="1" applyBorder="1" applyAlignment="1">
      <alignment horizontal="right"/>
    </xf>
    <xf numFmtId="164" fontId="784" fillId="0" borderId="847" xfId="0" applyNumberFormat="1" applyFont="1" applyBorder="1" applyAlignment="1">
      <alignment horizontal="right"/>
    </xf>
    <xf numFmtId="164" fontId="865" fillId="0" borderId="935" xfId="0" applyNumberFormat="1" applyFont="1" applyBorder="1" applyAlignment="1">
      <alignment horizontal="right"/>
    </xf>
    <xf numFmtId="164" fontId="944" fillId="0" borderId="1021" xfId="0" applyNumberFormat="1" applyFont="1" applyBorder="1" applyAlignment="1">
      <alignment horizontal="right"/>
    </xf>
    <xf numFmtId="164" fontId="700" fillId="0" borderId="756" xfId="0" applyNumberFormat="1" applyFont="1" applyBorder="1" applyAlignment="1">
      <alignment horizontal="right"/>
    </xf>
    <xf numFmtId="164" fontId="785" fillId="0" borderId="848" xfId="0" applyNumberFormat="1" applyFont="1" applyBorder="1" applyAlignment="1">
      <alignment horizontal="right"/>
    </xf>
    <xf numFmtId="164" fontId="866" fillId="0" borderId="936" xfId="0" applyNumberFormat="1" applyFont="1" applyBorder="1" applyAlignment="1">
      <alignment horizontal="right"/>
    </xf>
    <xf numFmtId="164" fontId="945" fillId="0" borderId="1022" xfId="0" applyNumberFormat="1" applyFont="1" applyBorder="1" applyAlignment="1">
      <alignment horizontal="right"/>
    </xf>
    <xf numFmtId="164" fontId="701" fillId="0" borderId="757" xfId="0" applyNumberFormat="1" applyFont="1" applyBorder="1" applyAlignment="1">
      <alignment horizontal="right"/>
    </xf>
    <xf numFmtId="164" fontId="786" fillId="0" borderId="849" xfId="0" applyNumberFormat="1" applyFont="1" applyBorder="1" applyAlignment="1">
      <alignment horizontal="right"/>
    </xf>
    <xf numFmtId="164" fontId="867" fillId="0" borderId="937" xfId="0" applyNumberFormat="1" applyFont="1" applyBorder="1" applyAlignment="1">
      <alignment horizontal="right"/>
    </xf>
    <xf numFmtId="164" fontId="946" fillId="0" borderId="1023" xfId="0" applyNumberFormat="1" applyFont="1" applyBorder="1" applyAlignment="1">
      <alignment horizontal="right"/>
    </xf>
    <xf numFmtId="164" fontId="702" fillId="0" borderId="758" xfId="0" applyNumberFormat="1" applyFont="1" applyBorder="1" applyAlignment="1">
      <alignment horizontal="right"/>
    </xf>
    <xf numFmtId="164" fontId="787" fillId="0" borderId="850" xfId="0" applyNumberFormat="1" applyFont="1" applyBorder="1" applyAlignment="1">
      <alignment horizontal="right"/>
    </xf>
    <xf numFmtId="164" fontId="868" fillId="0" borderId="938" xfId="0" applyNumberFormat="1" applyFont="1" applyBorder="1" applyAlignment="1">
      <alignment horizontal="right"/>
    </xf>
    <xf numFmtId="164" fontId="947" fillId="0" borderId="1024" xfId="0" applyNumberFormat="1" applyFont="1" applyBorder="1" applyAlignment="1">
      <alignment horizontal="right"/>
    </xf>
    <xf numFmtId="164" fontId="703" fillId="0" borderId="759" xfId="0" applyNumberFormat="1" applyFont="1" applyBorder="1" applyAlignment="1">
      <alignment horizontal="right"/>
    </xf>
    <xf numFmtId="164" fontId="788" fillId="0" borderId="851" xfId="0" applyNumberFormat="1" applyFont="1" applyBorder="1" applyAlignment="1">
      <alignment horizontal="right"/>
    </xf>
    <xf numFmtId="164" fontId="869" fillId="0" borderId="939" xfId="0" applyNumberFormat="1" applyFont="1" applyBorder="1" applyAlignment="1">
      <alignment horizontal="right"/>
    </xf>
    <xf numFmtId="164" fontId="948" fillId="0" borderId="1025" xfId="0" applyNumberFormat="1" applyFont="1" applyBorder="1" applyAlignment="1">
      <alignment horizontal="right"/>
    </xf>
    <xf numFmtId="164" fontId="704" fillId="0" borderId="760" xfId="0" applyNumberFormat="1" applyFont="1" applyBorder="1" applyAlignment="1">
      <alignment horizontal="right"/>
    </xf>
    <xf numFmtId="164" fontId="789" fillId="0" borderId="852" xfId="0" applyNumberFormat="1" applyFont="1" applyBorder="1" applyAlignment="1">
      <alignment horizontal="right"/>
    </xf>
    <xf numFmtId="164" fontId="870" fillId="0" borderId="940" xfId="0" applyNumberFormat="1" applyFont="1" applyBorder="1" applyAlignment="1">
      <alignment horizontal="right"/>
    </xf>
    <xf numFmtId="164" fontId="949" fillId="0" borderId="1026" xfId="0" applyNumberFormat="1" applyFont="1" applyBorder="1" applyAlignment="1">
      <alignment horizontal="right"/>
    </xf>
    <xf numFmtId="164" fontId="705" fillId="0" borderId="761" xfId="0" applyNumberFormat="1" applyFont="1" applyBorder="1" applyAlignment="1">
      <alignment horizontal="right"/>
    </xf>
    <xf numFmtId="164" fontId="790" fillId="0" borderId="853" xfId="0" applyNumberFormat="1" applyFont="1" applyBorder="1" applyAlignment="1">
      <alignment horizontal="right"/>
    </xf>
    <xf numFmtId="164" fontId="871" fillId="0" borderId="941" xfId="0" applyNumberFormat="1" applyFont="1" applyBorder="1" applyAlignment="1">
      <alignment horizontal="right"/>
    </xf>
    <xf numFmtId="164" fontId="950" fillId="0" borderId="1027" xfId="0" applyNumberFormat="1" applyFont="1" applyBorder="1" applyAlignment="1">
      <alignment horizontal="right"/>
    </xf>
    <xf numFmtId="164" fontId="662" fillId="0" borderId="718" xfId="0" applyNumberFormat="1" applyFont="1" applyBorder="1" applyAlignment="1">
      <alignment horizontal="right"/>
    </xf>
    <xf numFmtId="164" fontId="747" fillId="0" borderId="810" xfId="0" applyNumberFormat="1" applyFont="1" applyBorder="1" applyAlignment="1">
      <alignment horizontal="right"/>
    </xf>
    <xf numFmtId="164" fontId="832" fillId="0" borderId="902" xfId="0" applyNumberFormat="1" applyFont="1" applyBorder="1" applyAlignment="1">
      <alignment horizontal="right"/>
    </xf>
    <xf numFmtId="164" fontId="907" fillId="0" borderId="984" xfId="0" applyNumberFormat="1" applyFont="1" applyBorder="1" applyAlignment="1">
      <alignment horizontal="right"/>
    </xf>
    <xf numFmtId="164" fontId="711" fillId="0" borderId="767" xfId="0" applyNumberFormat="1" applyFont="1" applyBorder="1" applyAlignment="1">
      <alignment horizontal="right"/>
    </xf>
    <xf numFmtId="164" fontId="796" fillId="0" borderId="859" xfId="0" applyNumberFormat="1" applyFont="1" applyBorder="1" applyAlignment="1">
      <alignment horizontal="right"/>
    </xf>
    <xf numFmtId="164" fontId="875" fillId="0" borderId="945" xfId="0" applyNumberFormat="1" applyFont="1" applyBorder="1" applyAlignment="1">
      <alignment horizontal="right"/>
    </xf>
    <xf numFmtId="164" fontId="956" fillId="0" borderId="1033" xfId="0" applyNumberFormat="1" applyFont="1" applyBorder="1" applyAlignment="1">
      <alignment horizontal="right"/>
    </xf>
    <xf numFmtId="164" fontId="712" fillId="0" borderId="768" xfId="0" applyNumberFormat="1" applyFont="1" applyBorder="1" applyAlignment="1">
      <alignment horizontal="right"/>
    </xf>
    <xf numFmtId="164" fontId="797" fillId="0" borderId="860" xfId="0" applyNumberFormat="1" applyFont="1" applyBorder="1" applyAlignment="1">
      <alignment horizontal="right"/>
    </xf>
    <xf numFmtId="164" fontId="876" fillId="0" borderId="946" xfId="0" applyNumberFormat="1" applyFont="1" applyBorder="1" applyAlignment="1">
      <alignment horizontal="right"/>
    </xf>
    <xf numFmtId="164" fontId="957" fillId="0" borderId="1034" xfId="0" applyNumberFormat="1" applyFont="1" applyBorder="1" applyAlignment="1">
      <alignment horizontal="right"/>
    </xf>
    <xf numFmtId="164" fontId="713" fillId="0" borderId="769" xfId="0" applyNumberFormat="1" applyFont="1" applyBorder="1" applyAlignment="1">
      <alignment horizontal="right"/>
    </xf>
    <xf numFmtId="164" fontId="798" fillId="0" borderId="861" xfId="0" applyNumberFormat="1" applyFont="1" applyBorder="1" applyAlignment="1">
      <alignment horizontal="right"/>
    </xf>
    <xf numFmtId="164" fontId="877" fillId="0" borderId="947" xfId="0" applyNumberFormat="1" applyFont="1" applyBorder="1" applyAlignment="1">
      <alignment horizontal="right"/>
    </xf>
    <xf numFmtId="164" fontId="958" fillId="0" borderId="1035" xfId="0" applyNumberFormat="1" applyFont="1" applyBorder="1" applyAlignment="1">
      <alignment horizontal="right"/>
    </xf>
    <xf numFmtId="164" fontId="714" fillId="0" borderId="770" xfId="0" applyNumberFormat="1" applyFont="1" applyBorder="1" applyAlignment="1">
      <alignment horizontal="right"/>
    </xf>
    <xf numFmtId="164" fontId="799" fillId="0" borderId="862" xfId="0" applyNumberFormat="1" applyFont="1" applyBorder="1" applyAlignment="1">
      <alignment horizontal="right"/>
    </xf>
    <xf numFmtId="164" fontId="878" fillId="0" borderId="948" xfId="0" applyNumberFormat="1" applyFont="1" applyBorder="1" applyAlignment="1">
      <alignment horizontal="right"/>
    </xf>
    <xf numFmtId="164" fontId="959" fillId="0" borderId="1036" xfId="0" applyNumberFormat="1" applyFont="1" applyBorder="1" applyAlignment="1">
      <alignment horizontal="right"/>
    </xf>
    <xf numFmtId="164" fontId="715" fillId="0" borderId="771" xfId="0" applyNumberFormat="1" applyFont="1" applyBorder="1" applyAlignment="1">
      <alignment horizontal="right"/>
    </xf>
    <xf numFmtId="164" fontId="800" fillId="0" borderId="863" xfId="0" applyNumberFormat="1" applyFont="1" applyBorder="1" applyAlignment="1">
      <alignment horizontal="right"/>
    </xf>
    <xf numFmtId="164" fontId="879" fillId="0" borderId="949" xfId="0" applyNumberFormat="1" applyFont="1" applyBorder="1" applyAlignment="1">
      <alignment horizontal="right"/>
    </xf>
    <xf numFmtId="164" fontId="960" fillId="0" borderId="1037" xfId="0" applyNumberFormat="1" applyFont="1" applyBorder="1" applyAlignment="1">
      <alignment horizontal="right"/>
    </xf>
    <xf numFmtId="164" fontId="716" fillId="0" borderId="772" xfId="0" applyNumberFormat="1" applyFont="1" applyBorder="1" applyAlignment="1">
      <alignment horizontal="right"/>
    </xf>
    <xf numFmtId="164" fontId="801" fillId="0" borderId="864" xfId="0" applyNumberFormat="1" applyFont="1" applyBorder="1" applyAlignment="1">
      <alignment horizontal="right"/>
    </xf>
    <xf numFmtId="164" fontId="880" fillId="0" borderId="950" xfId="0" applyNumberFormat="1" applyFont="1" applyBorder="1" applyAlignment="1">
      <alignment horizontal="right"/>
    </xf>
    <xf numFmtId="164" fontId="961" fillId="0" borderId="1038" xfId="0" applyNumberFormat="1" applyFont="1" applyBorder="1" applyAlignment="1">
      <alignment horizontal="right"/>
    </xf>
    <xf numFmtId="164" fontId="717" fillId="0" borderId="773" xfId="0" applyNumberFormat="1" applyFont="1" applyBorder="1" applyAlignment="1">
      <alignment horizontal="right"/>
    </xf>
    <xf numFmtId="164" fontId="802" fillId="0" borderId="865" xfId="0" applyNumberFormat="1" applyFont="1" applyBorder="1" applyAlignment="1">
      <alignment horizontal="right"/>
    </xf>
    <xf numFmtId="164" fontId="881" fillId="0" borderId="951" xfId="0" applyNumberFormat="1" applyFont="1" applyBorder="1" applyAlignment="1">
      <alignment horizontal="right"/>
    </xf>
    <xf numFmtId="164" fontId="962" fillId="0" borderId="1039" xfId="0" applyNumberFormat="1" applyFont="1" applyBorder="1" applyAlignment="1">
      <alignment horizontal="right"/>
    </xf>
    <xf numFmtId="164" fontId="718" fillId="0" borderId="774" xfId="0" applyNumberFormat="1" applyFont="1" applyBorder="1" applyAlignment="1">
      <alignment horizontal="right"/>
    </xf>
    <xf numFmtId="164" fontId="803" fillId="0" borderId="866" xfId="0" applyNumberFormat="1" applyFont="1" applyBorder="1" applyAlignment="1">
      <alignment horizontal="right"/>
    </xf>
    <xf numFmtId="164" fontId="882" fillId="0" borderId="952" xfId="0" applyNumberFormat="1" applyFont="1" applyBorder="1" applyAlignment="1">
      <alignment horizontal="right"/>
    </xf>
    <xf numFmtId="164" fontId="963" fillId="0" borderId="1040" xfId="0" applyNumberFormat="1" applyFont="1" applyBorder="1" applyAlignment="1">
      <alignment horizontal="right"/>
    </xf>
    <xf numFmtId="164" fontId="719" fillId="0" borderId="775" xfId="0" applyNumberFormat="1" applyFont="1" applyBorder="1" applyAlignment="1">
      <alignment horizontal="right"/>
    </xf>
    <xf numFmtId="164" fontId="804" fillId="0" borderId="867" xfId="0" applyNumberFormat="1" applyFont="1" applyBorder="1" applyAlignment="1">
      <alignment horizontal="right"/>
    </xf>
    <xf numFmtId="164" fontId="883" fillId="0" borderId="953" xfId="0" applyNumberFormat="1" applyFont="1" applyBorder="1" applyAlignment="1">
      <alignment horizontal="right"/>
    </xf>
    <xf numFmtId="164" fontId="964" fillId="0" borderId="1041" xfId="0" applyNumberFormat="1" applyFont="1" applyBorder="1" applyAlignment="1">
      <alignment horizontal="right"/>
    </xf>
    <xf numFmtId="164" fontId="720" fillId="0" borderId="776" xfId="0" applyNumberFormat="1" applyFont="1" applyBorder="1" applyAlignment="1">
      <alignment horizontal="right"/>
    </xf>
    <xf numFmtId="164" fontId="805" fillId="0" borderId="868" xfId="0" applyNumberFormat="1" applyFont="1" applyBorder="1" applyAlignment="1">
      <alignment horizontal="right"/>
    </xf>
    <xf numFmtId="164" fontId="884" fillId="0" borderId="954" xfId="0" applyNumberFormat="1" applyFont="1" applyBorder="1" applyAlignment="1">
      <alignment horizontal="right"/>
    </xf>
    <xf numFmtId="164" fontId="965" fillId="0" borderId="1042" xfId="0" applyNumberFormat="1" applyFont="1" applyBorder="1" applyAlignment="1">
      <alignment horizontal="right"/>
    </xf>
    <xf numFmtId="164" fontId="721" fillId="0" borderId="777" xfId="0" applyNumberFormat="1" applyFont="1" applyBorder="1" applyAlignment="1">
      <alignment horizontal="right"/>
    </xf>
    <xf numFmtId="164" fontId="806" fillId="0" borderId="869" xfId="0" applyNumberFormat="1" applyFont="1" applyBorder="1" applyAlignment="1">
      <alignment horizontal="right"/>
    </xf>
    <xf numFmtId="164" fontId="885" fillId="0" borderId="955" xfId="0" applyNumberFormat="1" applyFont="1" applyBorder="1" applyAlignment="1">
      <alignment horizontal="right"/>
    </xf>
    <xf numFmtId="164" fontId="966" fillId="0" borderId="1043" xfId="0" applyNumberFormat="1" applyFont="1" applyBorder="1" applyAlignment="1">
      <alignment horizontal="right"/>
    </xf>
    <xf numFmtId="164" fontId="722" fillId="0" borderId="778" xfId="0" applyNumberFormat="1" applyFont="1" applyBorder="1" applyAlignment="1">
      <alignment horizontal="right"/>
    </xf>
    <xf numFmtId="164" fontId="807" fillId="0" borderId="870" xfId="0" applyNumberFormat="1" applyFont="1" applyBorder="1" applyAlignment="1">
      <alignment horizontal="right"/>
    </xf>
    <xf numFmtId="164" fontId="886" fillId="0" borderId="956" xfId="0" applyNumberFormat="1" applyFont="1" applyBorder="1" applyAlignment="1">
      <alignment horizontal="right"/>
    </xf>
    <xf numFmtId="164" fontId="967" fillId="0" borderId="1044" xfId="0" applyNumberFormat="1" applyFont="1" applyBorder="1" applyAlignment="1">
      <alignment horizontal="right"/>
    </xf>
    <xf numFmtId="164" fontId="723" fillId="0" borderId="779" xfId="0" applyNumberFormat="1" applyFont="1" applyBorder="1" applyAlignment="1">
      <alignment horizontal="right"/>
    </xf>
    <xf numFmtId="164" fontId="808" fillId="0" borderId="871" xfId="0" applyNumberFormat="1" applyFont="1" applyBorder="1" applyAlignment="1">
      <alignment horizontal="right"/>
    </xf>
    <xf numFmtId="164" fontId="887" fillId="0" borderId="957" xfId="0" applyNumberFormat="1" applyFont="1" applyBorder="1" applyAlignment="1">
      <alignment horizontal="right"/>
    </xf>
    <xf numFmtId="164" fontId="968" fillId="0" borderId="1045" xfId="0" applyNumberFormat="1" applyFont="1" applyBorder="1" applyAlignment="1">
      <alignment horizontal="right"/>
    </xf>
    <xf numFmtId="164" fontId="724" fillId="0" borderId="780" xfId="0" applyNumberFormat="1" applyFont="1" applyBorder="1" applyAlignment="1">
      <alignment horizontal="right"/>
    </xf>
    <xf numFmtId="164" fontId="809" fillId="0" borderId="872" xfId="0" applyNumberFormat="1" applyFont="1" applyBorder="1" applyAlignment="1">
      <alignment horizontal="right"/>
    </xf>
    <xf numFmtId="164" fontId="888" fillId="0" borderId="958" xfId="0" applyNumberFormat="1" applyFont="1" applyBorder="1" applyAlignment="1">
      <alignment horizontal="right"/>
    </xf>
    <xf numFmtId="164" fontId="969" fillId="0" borderId="1046" xfId="0" applyNumberFormat="1" applyFont="1" applyBorder="1" applyAlignment="1">
      <alignment horizontal="right"/>
    </xf>
    <xf numFmtId="164" fontId="663" fillId="0" borderId="719" xfId="0" applyNumberFormat="1" applyFont="1" applyBorder="1" applyAlignment="1">
      <alignment horizontal="right"/>
    </xf>
    <xf numFmtId="164" fontId="748" fillId="0" borderId="811" xfId="0" applyNumberFormat="1" applyFont="1" applyBorder="1" applyAlignment="1">
      <alignment horizontal="right"/>
    </xf>
    <xf numFmtId="164" fontId="833" fillId="0" borderId="903" xfId="0" applyNumberFormat="1" applyFont="1" applyBorder="1" applyAlignment="1">
      <alignment horizontal="right"/>
    </xf>
    <xf numFmtId="164" fontId="908" fillId="0" borderId="985" xfId="0" applyNumberFormat="1" applyFont="1" applyBorder="1" applyAlignment="1">
      <alignment horizontal="right"/>
    </xf>
    <xf numFmtId="164" fontId="730" fillId="0" borderId="786" xfId="0" applyNumberFormat="1" applyFont="1" applyBorder="1" applyAlignment="1">
      <alignment horizontal="right"/>
    </xf>
    <xf numFmtId="164" fontId="815" fillId="0" borderId="878" xfId="0" applyNumberFormat="1" applyFont="1" applyBorder="1" applyAlignment="1">
      <alignment horizontal="right"/>
    </xf>
    <xf numFmtId="164" fontId="892" fillId="0" borderId="962" xfId="0" applyNumberFormat="1" applyFont="1" applyBorder="1" applyAlignment="1">
      <alignment horizontal="right"/>
    </xf>
    <xf numFmtId="164" fontId="975" fillId="0" borderId="1052" xfId="0" applyNumberFormat="1" applyFont="1" applyBorder="1" applyAlignment="1">
      <alignment horizontal="right"/>
    </xf>
    <xf numFmtId="164" fontId="731" fillId="0" borderId="787" xfId="0" applyNumberFormat="1" applyFont="1" applyBorder="1" applyAlignment="1">
      <alignment horizontal="right"/>
    </xf>
    <xf numFmtId="164" fontId="816" fillId="0" borderId="879" xfId="0" applyNumberFormat="1" applyFont="1" applyBorder="1" applyAlignment="1">
      <alignment horizontal="right"/>
    </xf>
    <xf numFmtId="164" fontId="893" fillId="0" borderId="963" xfId="0" applyNumberFormat="1" applyFont="1" applyBorder="1" applyAlignment="1">
      <alignment horizontal="right"/>
    </xf>
    <xf numFmtId="164" fontId="976" fillId="0" borderId="1053" xfId="0" applyNumberFormat="1" applyFont="1" applyBorder="1" applyAlignment="1">
      <alignment horizontal="right"/>
    </xf>
    <xf numFmtId="164" fontId="732" fillId="0" borderId="788" xfId="0" applyNumberFormat="1" applyFont="1" applyBorder="1" applyAlignment="1">
      <alignment horizontal="right"/>
    </xf>
    <xf numFmtId="164" fontId="817" fillId="0" borderId="880" xfId="0" applyNumberFormat="1" applyFont="1" applyBorder="1" applyAlignment="1">
      <alignment horizontal="right"/>
    </xf>
    <xf numFmtId="164" fontId="894" fillId="0" borderId="964" xfId="0" applyNumberFormat="1" applyFont="1" applyBorder="1" applyAlignment="1">
      <alignment horizontal="right"/>
    </xf>
    <xf numFmtId="164" fontId="977" fillId="0" borderId="1054" xfId="0" applyNumberFormat="1" applyFont="1" applyBorder="1" applyAlignment="1">
      <alignment horizontal="right"/>
    </xf>
    <xf numFmtId="164" fontId="733" fillId="0" borderId="789" xfId="0" applyNumberFormat="1" applyFont="1" applyBorder="1" applyAlignment="1">
      <alignment horizontal="right"/>
    </xf>
    <xf numFmtId="164" fontId="818" fillId="0" borderId="881" xfId="0" applyNumberFormat="1" applyFont="1" applyBorder="1" applyAlignment="1">
      <alignment horizontal="right"/>
    </xf>
    <xf numFmtId="164" fontId="895" fillId="0" borderId="965" xfId="0" applyNumberFormat="1" applyFont="1" applyBorder="1" applyAlignment="1">
      <alignment horizontal="right"/>
    </xf>
    <xf numFmtId="164" fontId="978" fillId="0" borderId="1055" xfId="0" applyNumberFormat="1" applyFont="1" applyBorder="1" applyAlignment="1">
      <alignment horizontal="right"/>
    </xf>
    <xf numFmtId="164" fontId="734" fillId="0" borderId="790" xfId="0" applyNumberFormat="1" applyFont="1" applyBorder="1" applyAlignment="1">
      <alignment horizontal="right"/>
    </xf>
    <xf numFmtId="164" fontId="819" fillId="0" borderId="882" xfId="0" applyNumberFormat="1" applyFont="1" applyBorder="1" applyAlignment="1">
      <alignment horizontal="right"/>
    </xf>
    <xf numFmtId="164" fontId="896" fillId="0" borderId="966" xfId="0" applyNumberFormat="1" applyFont="1" applyBorder="1" applyAlignment="1">
      <alignment horizontal="right"/>
    </xf>
    <xf numFmtId="164" fontId="979" fillId="0" borderId="1056" xfId="0" applyNumberFormat="1" applyFont="1" applyBorder="1" applyAlignment="1">
      <alignment horizontal="right"/>
    </xf>
    <xf numFmtId="164" fontId="735" fillId="0" borderId="791" xfId="0" applyNumberFormat="1" applyFont="1" applyBorder="1" applyAlignment="1">
      <alignment horizontal="right"/>
    </xf>
    <xf numFmtId="164" fontId="820" fillId="0" borderId="883" xfId="0" applyNumberFormat="1" applyFont="1" applyBorder="1" applyAlignment="1">
      <alignment horizontal="right"/>
    </xf>
    <xf numFmtId="164" fontId="897" fillId="0" borderId="967" xfId="0" applyNumberFormat="1" applyFont="1" applyBorder="1" applyAlignment="1">
      <alignment horizontal="right"/>
    </xf>
    <xf numFmtId="164" fontId="980" fillId="0" borderId="1057" xfId="0" applyNumberFormat="1" applyFont="1" applyBorder="1" applyAlignment="1">
      <alignment horizontal="right"/>
    </xf>
    <xf numFmtId="164" fontId="1" fillId="0" borderId="792" xfId="0" applyNumberFormat="1" applyFont="1" applyBorder="1" applyAlignment="1">
      <alignment horizontal="right"/>
    </xf>
    <xf numFmtId="164" fontId="1" fillId="0" borderId="884" xfId="0" applyNumberFormat="1" applyFont="1" applyBorder="1" applyAlignment="1">
      <alignment horizontal="right"/>
    </xf>
    <xf numFmtId="164" fontId="1" fillId="0" borderId="968" xfId="0" applyNumberFormat="1" applyFont="1" applyBorder="1" applyAlignment="1">
      <alignment horizontal="right"/>
    </xf>
    <xf numFmtId="164" fontId="1" fillId="0" borderId="1058" xfId="0" applyNumberFormat="1" applyFont="1" applyBorder="1" applyAlignment="1">
      <alignment horizontal="right"/>
    </xf>
    <xf numFmtId="164" fontId="1" fillId="0" borderId="793" xfId="0" applyNumberFormat="1" applyFont="1" applyBorder="1" applyAlignment="1">
      <alignment horizontal="right"/>
    </xf>
    <xf numFmtId="164" fontId="1" fillId="0" borderId="885" xfId="0" applyNumberFormat="1" applyFont="1" applyBorder="1" applyAlignment="1">
      <alignment horizontal="right"/>
    </xf>
    <xf numFmtId="164" fontId="1" fillId="0" borderId="969" xfId="0" applyNumberFormat="1" applyFont="1" applyBorder="1" applyAlignment="1">
      <alignment horizontal="right"/>
    </xf>
    <xf numFmtId="164" fontId="1" fillId="0" borderId="1059" xfId="0" applyNumberFormat="1" applyFont="1" applyBorder="1" applyAlignment="1">
      <alignment horizontal="right"/>
    </xf>
    <xf numFmtId="164" fontId="1" fillId="0" borderId="794" xfId="0" applyNumberFormat="1" applyFont="1" applyBorder="1" applyAlignment="1">
      <alignment horizontal="right"/>
    </xf>
    <xf numFmtId="164" fontId="1" fillId="0" borderId="886" xfId="0" applyNumberFormat="1" applyFont="1" applyBorder="1" applyAlignment="1">
      <alignment horizontal="right"/>
    </xf>
    <xf numFmtId="164" fontId="1" fillId="0" borderId="970" xfId="0" applyNumberFormat="1" applyFont="1" applyBorder="1" applyAlignment="1">
      <alignment horizontal="right"/>
    </xf>
    <xf numFmtId="164" fontId="1" fillId="0" borderId="1060" xfId="0" applyNumberFormat="1" applyFont="1" applyBorder="1" applyAlignment="1">
      <alignment horizontal="right"/>
    </xf>
    <xf numFmtId="164" fontId="1" fillId="0" borderId="795" xfId="0" applyNumberFormat="1" applyFont="1" applyBorder="1" applyAlignment="1">
      <alignment horizontal="right"/>
    </xf>
    <xf numFmtId="164" fontId="1" fillId="0" borderId="887" xfId="0" applyNumberFormat="1" applyFont="1" applyBorder="1" applyAlignment="1">
      <alignment horizontal="right"/>
    </xf>
    <xf numFmtId="164" fontId="1" fillId="0" borderId="971" xfId="0" applyNumberFormat="1" applyFont="1" applyBorder="1" applyAlignment="1">
      <alignment horizontal="right"/>
    </xf>
    <xf numFmtId="164" fontId="1" fillId="0" borderId="1061" xfId="0" applyNumberFormat="1" applyFont="1" applyBorder="1" applyAlignment="1">
      <alignment horizontal="right"/>
    </xf>
    <xf numFmtId="164" fontId="1" fillId="0" borderId="796" xfId="0" applyNumberFormat="1" applyFont="1" applyBorder="1" applyAlignment="1">
      <alignment horizontal="right"/>
    </xf>
    <xf numFmtId="164" fontId="1" fillId="0" borderId="888" xfId="0" applyNumberFormat="1" applyFont="1" applyBorder="1" applyAlignment="1">
      <alignment horizontal="right"/>
    </xf>
    <xf numFmtId="164" fontId="1" fillId="0" borderId="972" xfId="0" applyNumberFormat="1" applyFont="1" applyBorder="1" applyAlignment="1">
      <alignment horizontal="right"/>
    </xf>
    <xf numFmtId="164" fontId="1" fillId="0" borderId="1062" xfId="0" applyNumberFormat="1" applyFont="1" applyBorder="1" applyAlignment="1">
      <alignment horizontal="right"/>
    </xf>
    <xf numFmtId="164" fontId="1" fillId="0" borderId="797" xfId="0" applyNumberFormat="1" applyFont="1" applyBorder="1" applyAlignment="1">
      <alignment horizontal="right"/>
    </xf>
    <xf numFmtId="164" fontId="1" fillId="0" borderId="889" xfId="0" applyNumberFormat="1" applyFont="1" applyBorder="1" applyAlignment="1">
      <alignment horizontal="right"/>
    </xf>
    <xf numFmtId="164" fontId="1" fillId="0" borderId="973" xfId="0" applyNumberFormat="1" applyFont="1" applyBorder="1" applyAlignment="1">
      <alignment horizontal="right"/>
    </xf>
    <xf numFmtId="164" fontId="1" fillId="0" borderId="1063" xfId="0" applyNumberFormat="1" applyFont="1" applyBorder="1" applyAlignment="1">
      <alignment horizontal="right"/>
    </xf>
    <xf numFmtId="164" fontId="1" fillId="0" borderId="798" xfId="0" applyNumberFormat="1" applyFont="1" applyBorder="1" applyAlignment="1">
      <alignment horizontal="right"/>
    </xf>
    <xf numFmtId="164" fontId="1" fillId="0" borderId="890" xfId="0" applyNumberFormat="1" applyFont="1" applyBorder="1" applyAlignment="1">
      <alignment horizontal="right"/>
    </xf>
    <xf numFmtId="164" fontId="1" fillId="0" borderId="974" xfId="0" applyNumberFormat="1" applyFont="1" applyBorder="1" applyAlignment="1">
      <alignment horizontal="right"/>
    </xf>
    <xf numFmtId="164" fontId="1" fillId="0" borderId="1064" xfId="0" applyNumberFormat="1" applyFont="1" applyBorder="1" applyAlignment="1">
      <alignment horizontal="right"/>
    </xf>
    <xf numFmtId="164" fontId="736" fillId="0" borderId="799" xfId="0" applyNumberFormat="1" applyFont="1" applyBorder="1" applyAlignment="1">
      <alignment horizontal="right"/>
    </xf>
    <xf numFmtId="164" fontId="821" fillId="0" borderId="891" xfId="0" applyNumberFormat="1" applyFont="1" applyBorder="1" applyAlignment="1">
      <alignment horizontal="right"/>
    </xf>
    <xf numFmtId="164" fontId="898" fillId="0" borderId="975" xfId="0" applyNumberFormat="1" applyFont="1" applyBorder="1" applyAlignment="1">
      <alignment horizontal="right"/>
    </xf>
    <xf numFmtId="164" fontId="981" fillId="0" borderId="1065" xfId="0" applyNumberFormat="1" applyFont="1" applyBorder="1" applyAlignment="1">
      <alignment horizontal="right"/>
    </xf>
    <xf numFmtId="164" fontId="664" fillId="0" borderId="720" xfId="0" applyNumberFormat="1" applyFont="1" applyBorder="1" applyAlignment="1">
      <alignment horizontal="right"/>
    </xf>
    <xf numFmtId="164" fontId="749" fillId="0" borderId="812" xfId="0" applyNumberFormat="1" applyFont="1" applyBorder="1" applyAlignment="1">
      <alignment horizontal="right"/>
    </xf>
    <xf numFmtId="164" fontId="834" fillId="0" borderId="904" xfId="0" applyNumberFormat="1" applyFont="1" applyBorder="1" applyAlignment="1">
      <alignment horizontal="right"/>
    </xf>
    <xf numFmtId="164" fontId="909" fillId="0" borderId="986" xfId="0" applyNumberFormat="1" applyFont="1" applyBorder="1" applyAlignment="1">
      <alignment horizontal="right"/>
    </xf>
    <xf numFmtId="164" fontId="742" fillId="0" borderId="805" xfId="0" applyNumberFormat="1" applyFont="1" applyBorder="1" applyAlignment="1">
      <alignment horizontal="right"/>
    </xf>
    <xf numFmtId="164" fontId="827" fillId="0" borderId="897" xfId="0" applyNumberFormat="1" applyFont="1" applyBorder="1" applyAlignment="1">
      <alignment horizontal="right"/>
    </xf>
    <xf numFmtId="164" fontId="902" fillId="0" borderId="979" xfId="0" applyNumberFormat="1" applyFont="1" applyBorder="1" applyAlignment="1">
      <alignment horizontal="right"/>
    </xf>
    <xf numFmtId="164" fontId="987" fillId="0" borderId="1071" xfId="0" applyNumberFormat="1" applyFont="1" applyBorder="1" applyAlignment="1">
      <alignment horizontal="right"/>
    </xf>
    <xf numFmtId="164" fontId="743" fillId="0" borderId="806" xfId="0" applyNumberFormat="1" applyFont="1" applyBorder="1" applyAlignment="1">
      <alignment horizontal="right"/>
    </xf>
    <xf numFmtId="164" fontId="828" fillId="0" borderId="898" xfId="0" applyNumberFormat="1" applyFont="1" applyBorder="1" applyAlignment="1">
      <alignment horizontal="right"/>
    </xf>
    <xf numFmtId="164" fontId="903" fillId="0" borderId="980" xfId="0" applyNumberFormat="1" applyFont="1" applyBorder="1" applyAlignment="1">
      <alignment horizontal="right"/>
    </xf>
    <xf numFmtId="164" fontId="988" fillId="0" borderId="1072" xfId="0" applyNumberFormat="1" applyFont="1" applyBorder="1" applyAlignment="1">
      <alignment horizontal="right"/>
    </xf>
    <xf numFmtId="164" fontId="744" fillId="0" borderId="807" xfId="0" applyNumberFormat="1" applyFont="1" applyBorder="1" applyAlignment="1">
      <alignment horizontal="right"/>
    </xf>
    <xf numFmtId="164" fontId="829" fillId="0" borderId="899" xfId="0" applyNumberFormat="1" applyFont="1" applyBorder="1" applyAlignment="1">
      <alignment horizontal="right"/>
    </xf>
    <xf numFmtId="164" fontId="904" fillId="0" borderId="981" xfId="0" applyNumberFormat="1" applyFont="1" applyBorder="1" applyAlignment="1">
      <alignment horizontal="right"/>
    </xf>
    <xf numFmtId="164" fontId="989" fillId="0" borderId="1073" xfId="0" applyNumberFormat="1" applyFont="1" applyBorder="1" applyAlignment="1">
      <alignment horizontal="right"/>
    </xf>
    <xf numFmtId="164" fontId="745" fillId="0" borderId="808" xfId="0" applyNumberFormat="1" applyFont="1" applyBorder="1" applyAlignment="1">
      <alignment horizontal="right"/>
    </xf>
    <xf numFmtId="164" fontId="830" fillId="0" borderId="900" xfId="0" applyNumberFormat="1" applyFont="1" applyBorder="1" applyAlignment="1">
      <alignment horizontal="right"/>
    </xf>
    <xf numFmtId="164" fontId="905" fillId="0" borderId="982" xfId="0" applyNumberFormat="1" applyFont="1" applyBorder="1" applyAlignment="1">
      <alignment horizontal="right"/>
    </xf>
    <xf numFmtId="164" fontId="990" fillId="0" borderId="1074" xfId="0" applyNumberFormat="1" applyFont="1" applyBorder="1" applyAlignment="1">
      <alignment horizontal="right"/>
    </xf>
    <xf numFmtId="164" fontId="665" fillId="0" borderId="721" xfId="0" applyNumberFormat="1" applyFont="1" applyBorder="1" applyAlignment="1">
      <alignment horizontal="right"/>
    </xf>
    <xf numFmtId="164" fontId="750" fillId="0" borderId="813" xfId="0" applyNumberFormat="1" applyFont="1" applyBorder="1" applyAlignment="1">
      <alignment horizontal="right"/>
    </xf>
    <xf numFmtId="164" fontId="835" fillId="0" borderId="905" xfId="0" applyNumberFormat="1" applyFont="1" applyBorder="1" applyAlignment="1">
      <alignment horizontal="right"/>
    </xf>
    <xf numFmtId="164" fontId="910" fillId="0" borderId="987" xfId="0" applyNumberFormat="1" applyFont="1" applyBorder="1" applyAlignment="1">
      <alignment horizontal="right"/>
    </xf>
    <xf numFmtId="164" fontId="4272" fillId="0" borderId="4608" xfId="0" applyNumberFormat="1" applyFont="1" applyBorder="1" applyAlignment="1">
      <alignment horizontal="right"/>
    </xf>
    <xf numFmtId="164" fontId="4311" fillId="0" borderId="4647" xfId="0" applyNumberFormat="1" applyFont="1" applyBorder="1" applyAlignment="1">
      <alignment horizontal="right"/>
    </xf>
    <xf numFmtId="164" fontId="4348" fillId="0" borderId="4684" xfId="0" applyNumberFormat="1" applyFont="1" applyBorder="1" applyAlignment="1">
      <alignment horizontal="right"/>
    </xf>
    <xf numFmtId="164" fontId="4385" fillId="0" borderId="4721" xfId="0" applyNumberFormat="1" applyFont="1" applyBorder="1" applyAlignment="1">
      <alignment horizontal="right"/>
    </xf>
    <xf numFmtId="164" fontId="4273" fillId="0" borderId="4609" xfId="0" applyNumberFormat="1" applyFont="1" applyBorder="1" applyAlignment="1">
      <alignment horizontal="right"/>
    </xf>
    <xf numFmtId="164" fontId="4312" fillId="0" borderId="4648" xfId="0" applyNumberFormat="1" applyFont="1" applyBorder="1" applyAlignment="1">
      <alignment horizontal="right"/>
    </xf>
    <xf numFmtId="164" fontId="4349" fillId="0" borderId="4685" xfId="0" applyNumberFormat="1" applyFont="1" applyBorder="1" applyAlignment="1">
      <alignment horizontal="right"/>
    </xf>
    <xf numFmtId="164" fontId="4386" fillId="0" borderId="4722" xfId="0" applyNumberFormat="1" applyFont="1" applyBorder="1" applyAlignment="1">
      <alignment horizontal="right"/>
    </xf>
    <xf numFmtId="164" fontId="4274" fillId="0" borderId="4610" xfId="0" applyNumberFormat="1" applyFont="1" applyBorder="1" applyAlignment="1">
      <alignment horizontal="right"/>
    </xf>
    <xf numFmtId="164" fontId="4313" fillId="0" borderId="4649" xfId="0" applyNumberFormat="1" applyFont="1" applyBorder="1" applyAlignment="1">
      <alignment horizontal="right"/>
    </xf>
    <xf numFmtId="164" fontId="4350" fillId="0" borderId="4686" xfId="0" applyNumberFormat="1" applyFont="1" applyBorder="1" applyAlignment="1">
      <alignment horizontal="right"/>
    </xf>
    <xf numFmtId="164" fontId="4387" fillId="0" borderId="4723" xfId="0" applyNumberFormat="1" applyFont="1" applyBorder="1" applyAlignment="1">
      <alignment horizontal="right"/>
    </xf>
    <xf numFmtId="164" fontId="4275" fillId="0" borderId="4611" xfId="0" applyNumberFormat="1" applyFont="1" applyBorder="1" applyAlignment="1">
      <alignment horizontal="right"/>
    </xf>
    <xf numFmtId="164" fontId="4314" fillId="0" borderId="4650" xfId="0" applyNumberFormat="1" applyFont="1" applyBorder="1" applyAlignment="1">
      <alignment horizontal="right"/>
    </xf>
    <xf numFmtId="164" fontId="4351" fillId="0" borderId="4687" xfId="0" applyNumberFormat="1" applyFont="1" applyBorder="1" applyAlignment="1">
      <alignment horizontal="right"/>
    </xf>
    <xf numFmtId="164" fontId="4388" fillId="0" borderId="4724" xfId="0" applyNumberFormat="1" applyFont="1" applyBorder="1" applyAlignment="1">
      <alignment horizontal="right"/>
    </xf>
    <xf numFmtId="164" fontId="4276" fillId="0" borderId="4612" xfId="0" applyNumberFormat="1" applyFont="1" applyBorder="1" applyAlignment="1">
      <alignment horizontal="right"/>
    </xf>
    <xf numFmtId="164" fontId="4315" fillId="0" borderId="4651" xfId="0" applyNumberFormat="1" applyFont="1" applyBorder="1" applyAlignment="1">
      <alignment horizontal="right"/>
    </xf>
    <xf numFmtId="164" fontId="4352" fillId="0" borderId="4688" xfId="0" applyNumberFormat="1" applyFont="1" applyBorder="1" applyAlignment="1">
      <alignment horizontal="right"/>
    </xf>
    <xf numFmtId="164" fontId="4389" fillId="0" borderId="4725" xfId="0" applyNumberFormat="1" applyFont="1" applyBorder="1" applyAlignment="1">
      <alignment horizontal="right"/>
    </xf>
    <xf numFmtId="164" fontId="4277" fillId="0" borderId="4613" xfId="0" applyNumberFormat="1" applyFont="1" applyBorder="1" applyAlignment="1">
      <alignment horizontal="right"/>
    </xf>
    <xf numFmtId="164" fontId="4316" fillId="0" borderId="4652" xfId="0" applyNumberFormat="1" applyFont="1" applyBorder="1" applyAlignment="1">
      <alignment horizontal="right"/>
    </xf>
    <xf numFmtId="164" fontId="4353" fillId="0" borderId="4689" xfId="0" applyNumberFormat="1" applyFont="1" applyBorder="1" applyAlignment="1">
      <alignment horizontal="right"/>
    </xf>
    <xf numFmtId="164" fontId="4390" fillId="0" borderId="4726" xfId="0" applyNumberFormat="1" applyFont="1" applyBorder="1" applyAlignment="1">
      <alignment horizontal="right"/>
    </xf>
    <xf numFmtId="164" fontId="4278" fillId="0" borderId="4614" xfId="0" applyNumberFormat="1" applyFont="1" applyBorder="1" applyAlignment="1">
      <alignment horizontal="right"/>
    </xf>
    <xf numFmtId="164" fontId="4317" fillId="0" borderId="4653" xfId="0" applyNumberFormat="1" applyFont="1" applyBorder="1" applyAlignment="1">
      <alignment horizontal="right"/>
    </xf>
    <xf numFmtId="164" fontId="4354" fillId="0" borderId="4690" xfId="0" applyNumberFormat="1" applyFont="1" applyBorder="1" applyAlignment="1">
      <alignment horizontal="right"/>
    </xf>
    <xf numFmtId="164" fontId="4391" fillId="0" borderId="4727" xfId="0" applyNumberFormat="1" applyFont="1" applyBorder="1" applyAlignment="1">
      <alignment horizontal="right"/>
    </xf>
    <xf numFmtId="164" fontId="4279" fillId="0" borderId="4615" xfId="0" applyNumberFormat="1" applyFont="1" applyBorder="1" applyAlignment="1">
      <alignment horizontal="right"/>
    </xf>
    <xf numFmtId="164" fontId="4318" fillId="0" borderId="4654" xfId="0" applyNumberFormat="1" applyFont="1" applyBorder="1" applyAlignment="1">
      <alignment horizontal="right"/>
    </xf>
    <xf numFmtId="164" fontId="4355" fillId="0" borderId="4691" xfId="0" applyNumberFormat="1" applyFont="1" applyBorder="1" applyAlignment="1">
      <alignment horizontal="right"/>
    </xf>
    <xf numFmtId="164" fontId="4392" fillId="0" borderId="4728" xfId="0" applyNumberFormat="1" applyFont="1" applyBorder="1" applyAlignment="1">
      <alignment horizontal="right"/>
    </xf>
    <xf numFmtId="164" fontId="4280" fillId="0" borderId="4616" xfId="0" applyNumberFormat="1" applyFont="1" applyBorder="1" applyAlignment="1">
      <alignment horizontal="right"/>
    </xf>
    <xf numFmtId="164" fontId="4319" fillId="0" borderId="4655" xfId="0" applyNumberFormat="1" applyFont="1" applyBorder="1" applyAlignment="1">
      <alignment horizontal="right"/>
    </xf>
    <xf numFmtId="164" fontId="4356" fillId="0" borderId="4692" xfId="0" applyNumberFormat="1" applyFont="1" applyBorder="1" applyAlignment="1">
      <alignment horizontal="right"/>
    </xf>
    <xf numFmtId="164" fontId="4393" fillId="0" borderId="4729" xfId="0" applyNumberFormat="1" applyFont="1" applyBorder="1" applyAlignment="1">
      <alignment horizontal="right"/>
    </xf>
    <xf numFmtId="164" fontId="4281" fillId="0" borderId="4617" xfId="0" applyNumberFormat="1" applyFont="1" applyBorder="1" applyAlignment="1">
      <alignment horizontal="right"/>
    </xf>
    <xf numFmtId="164" fontId="4320" fillId="0" borderId="4656" xfId="0" applyNumberFormat="1" applyFont="1" applyBorder="1" applyAlignment="1">
      <alignment horizontal="right"/>
    </xf>
    <xf numFmtId="164" fontId="4357" fillId="0" borderId="4693" xfId="0" applyNumberFormat="1" applyFont="1" applyBorder="1" applyAlignment="1">
      <alignment horizontal="right"/>
    </xf>
    <xf numFmtId="164" fontId="4394" fillId="0" borderId="4730" xfId="0" applyNumberFormat="1" applyFont="1" applyBorder="1" applyAlignment="1">
      <alignment horizontal="right"/>
    </xf>
    <xf numFmtId="164" fontId="4282" fillId="0" borderId="4618" xfId="0" applyNumberFormat="1" applyFont="1" applyBorder="1" applyAlignment="1">
      <alignment horizontal="right"/>
    </xf>
    <xf numFmtId="164" fontId="4321" fillId="0" borderId="4657" xfId="0" applyNumberFormat="1" applyFont="1" applyBorder="1" applyAlignment="1">
      <alignment horizontal="right"/>
    </xf>
    <xf numFmtId="164" fontId="4358" fillId="0" borderId="4694" xfId="0" applyNumberFormat="1" applyFont="1" applyBorder="1" applyAlignment="1">
      <alignment horizontal="right"/>
    </xf>
    <xf numFmtId="164" fontId="4395" fillId="0" borderId="4731" xfId="0" applyNumberFormat="1" applyFont="1" applyBorder="1" applyAlignment="1">
      <alignment horizontal="right"/>
    </xf>
    <xf numFmtId="164" fontId="4283" fillId="0" borderId="4619" xfId="0" applyNumberFormat="1" applyFont="1" applyBorder="1" applyAlignment="1">
      <alignment horizontal="right"/>
    </xf>
    <xf numFmtId="164" fontId="4322" fillId="0" borderId="4658" xfId="0" applyNumberFormat="1" applyFont="1" applyBorder="1" applyAlignment="1">
      <alignment horizontal="right"/>
    </xf>
    <xf numFmtId="164" fontId="4359" fillId="0" borderId="4695" xfId="0" applyNumberFormat="1" applyFont="1" applyBorder="1" applyAlignment="1">
      <alignment horizontal="right"/>
    </xf>
    <xf numFmtId="164" fontId="4396" fillId="0" borderId="4732" xfId="0" applyNumberFormat="1" applyFont="1" applyBorder="1" applyAlignment="1">
      <alignment horizontal="right"/>
    </xf>
    <xf numFmtId="164" fontId="4284" fillId="0" borderId="4620" xfId="0" applyNumberFormat="1" applyFont="1" applyBorder="1" applyAlignment="1">
      <alignment horizontal="right"/>
    </xf>
    <xf numFmtId="164" fontId="4323" fillId="0" borderId="4659" xfId="0" applyNumberFormat="1" applyFont="1" applyBorder="1" applyAlignment="1">
      <alignment horizontal="right"/>
    </xf>
    <xf numFmtId="164" fontId="4360" fillId="0" borderId="4696" xfId="0" applyNumberFormat="1" applyFont="1" applyBorder="1" applyAlignment="1">
      <alignment horizontal="right"/>
    </xf>
    <xf numFmtId="164" fontId="4397" fillId="0" borderId="4733" xfId="0" applyNumberFormat="1" applyFont="1" applyBorder="1" applyAlignment="1">
      <alignment horizontal="right"/>
    </xf>
    <xf numFmtId="164" fontId="4265" fillId="0" borderId="4601" xfId="0" applyNumberFormat="1" applyFont="1" applyBorder="1" applyAlignment="1">
      <alignment horizontal="right"/>
    </xf>
    <xf numFmtId="164" fontId="4304" fillId="0" borderId="4640" xfId="0" applyNumberFormat="1" applyFont="1" applyBorder="1" applyAlignment="1">
      <alignment horizontal="right"/>
    </xf>
    <xf numFmtId="164" fontId="4343" fillId="0" borderId="4679" xfId="0" applyNumberFormat="1" applyFont="1" applyBorder="1" applyAlignment="1">
      <alignment horizontal="right"/>
    </xf>
    <xf numFmtId="164" fontId="4378" fillId="0" borderId="4714" xfId="0" applyNumberFormat="1" applyFont="1" applyBorder="1" applyAlignment="1">
      <alignment horizontal="right"/>
    </xf>
    <xf numFmtId="164" fontId="4290" fillId="0" borderId="4626" xfId="0" applyNumberFormat="1" applyFont="1" applyBorder="1" applyAlignment="1">
      <alignment horizontal="right"/>
    </xf>
    <xf numFmtId="164" fontId="4329" fillId="0" borderId="4665" xfId="0" applyNumberFormat="1" applyFont="1" applyBorder="1" applyAlignment="1">
      <alignment horizontal="right"/>
    </xf>
    <xf numFmtId="164" fontId="4364" fillId="0" borderId="4700" xfId="0" applyNumberFormat="1" applyFont="1" applyBorder="1" applyAlignment="1">
      <alignment horizontal="right"/>
    </xf>
    <xf numFmtId="164" fontId="4403" fillId="0" borderId="4739" xfId="0" applyNumberFormat="1" applyFont="1" applyBorder="1" applyAlignment="1">
      <alignment horizontal="right"/>
    </xf>
    <xf numFmtId="164" fontId="4291" fillId="0" borderId="4627" xfId="0" applyNumberFormat="1" applyFont="1" applyBorder="1" applyAlignment="1">
      <alignment horizontal="right"/>
    </xf>
    <xf numFmtId="164" fontId="4330" fillId="0" borderId="4666" xfId="0" applyNumberFormat="1" applyFont="1" applyBorder="1" applyAlignment="1">
      <alignment horizontal="right"/>
    </xf>
    <xf numFmtId="164" fontId="4365" fillId="0" borderId="4701" xfId="0" applyNumberFormat="1" applyFont="1" applyBorder="1" applyAlignment="1">
      <alignment horizontal="right"/>
    </xf>
    <xf numFmtId="164" fontId="4404" fillId="0" borderId="4740" xfId="0" applyNumberFormat="1" applyFont="1" applyBorder="1" applyAlignment="1">
      <alignment horizontal="right"/>
    </xf>
    <xf numFmtId="164" fontId="4292" fillId="0" borderId="4628" xfId="0" applyNumberFormat="1" applyFont="1" applyBorder="1" applyAlignment="1">
      <alignment horizontal="right"/>
    </xf>
    <xf numFmtId="164" fontId="4331" fillId="0" borderId="4667" xfId="0" applyNumberFormat="1" applyFont="1" applyBorder="1" applyAlignment="1">
      <alignment horizontal="right"/>
    </xf>
    <xf numFmtId="164" fontId="4366" fillId="0" borderId="4702" xfId="0" applyNumberFormat="1" applyFont="1" applyBorder="1" applyAlignment="1">
      <alignment horizontal="right"/>
    </xf>
    <xf numFmtId="164" fontId="4405" fillId="0" borderId="4741" xfId="0" applyNumberFormat="1" applyFont="1" applyBorder="1" applyAlignment="1">
      <alignment horizontal="right"/>
    </xf>
    <xf numFmtId="164" fontId="4293" fillId="0" borderId="4629" xfId="0" applyNumberFormat="1" applyFont="1" applyBorder="1" applyAlignment="1">
      <alignment horizontal="right"/>
    </xf>
    <xf numFmtId="164" fontId="4332" fillId="0" borderId="4668" xfId="0" applyNumberFormat="1" applyFont="1" applyBorder="1" applyAlignment="1">
      <alignment horizontal="right"/>
    </xf>
    <xf numFmtId="164" fontId="4367" fillId="0" borderId="4703" xfId="0" applyNumberFormat="1" applyFont="1" applyBorder="1" applyAlignment="1">
      <alignment horizontal="right"/>
    </xf>
    <xf numFmtId="164" fontId="4406" fillId="0" borderId="4742" xfId="0" applyNumberFormat="1" applyFont="1" applyBorder="1" applyAlignment="1">
      <alignment horizontal="right"/>
    </xf>
    <xf numFmtId="164" fontId="4294" fillId="0" borderId="4630" xfId="0" applyNumberFormat="1" applyFont="1" applyBorder="1" applyAlignment="1">
      <alignment horizontal="right"/>
    </xf>
    <xf numFmtId="164" fontId="4333" fillId="0" borderId="4669" xfId="0" applyNumberFormat="1" applyFont="1" applyBorder="1" applyAlignment="1">
      <alignment horizontal="right"/>
    </xf>
    <xf numFmtId="164" fontId="4368" fillId="0" borderId="4704" xfId="0" applyNumberFormat="1" applyFont="1" applyBorder="1" applyAlignment="1">
      <alignment horizontal="right"/>
    </xf>
    <xf numFmtId="164" fontId="4407" fillId="0" borderId="4743" xfId="0" applyNumberFormat="1" applyFont="1" applyBorder="1" applyAlignment="1">
      <alignment horizontal="right"/>
    </xf>
    <xf numFmtId="164" fontId="4295" fillId="0" borderId="4631" xfId="0" applyNumberFormat="1" applyFont="1" applyBorder="1" applyAlignment="1">
      <alignment horizontal="right"/>
    </xf>
    <xf numFmtId="164" fontId="4334" fillId="0" borderId="4670" xfId="0" applyNumberFormat="1" applyFont="1" applyBorder="1" applyAlignment="1">
      <alignment horizontal="right"/>
    </xf>
    <xf numFmtId="164" fontId="4369" fillId="0" borderId="4705" xfId="0" applyNumberFormat="1" applyFont="1" applyBorder="1" applyAlignment="1">
      <alignment horizontal="right"/>
    </xf>
    <xf numFmtId="164" fontId="4408" fillId="0" borderId="4744" xfId="0" applyNumberFormat="1" applyFont="1" applyBorder="1" applyAlignment="1">
      <alignment horizontal="right"/>
    </xf>
    <xf numFmtId="164" fontId="4296" fillId="0" borderId="4632" xfId="0" applyNumberFormat="1" applyFont="1" applyBorder="1" applyAlignment="1">
      <alignment horizontal="right"/>
    </xf>
    <xf numFmtId="164" fontId="4335" fillId="0" borderId="4671" xfId="0" applyNumberFormat="1" applyFont="1" applyBorder="1" applyAlignment="1">
      <alignment horizontal="right"/>
    </xf>
    <xf numFmtId="164" fontId="4370" fillId="0" borderId="4706" xfId="0" applyNumberFormat="1" applyFont="1" applyBorder="1" applyAlignment="1">
      <alignment horizontal="right"/>
    </xf>
    <xf numFmtId="164" fontId="4409" fillId="0" borderId="4745" xfId="0" applyNumberFormat="1" applyFont="1" applyBorder="1" applyAlignment="1">
      <alignment horizontal="right"/>
    </xf>
    <xf numFmtId="164" fontId="4297" fillId="0" borderId="4633" xfId="0" applyNumberFormat="1" applyFont="1" applyBorder="1" applyAlignment="1">
      <alignment horizontal="right"/>
    </xf>
    <xf numFmtId="164" fontId="4336" fillId="0" borderId="4672" xfId="0" applyNumberFormat="1" applyFont="1" applyBorder="1" applyAlignment="1">
      <alignment horizontal="right"/>
    </xf>
    <xf numFmtId="164" fontId="4371" fillId="0" borderId="4707" xfId="0" applyNumberFormat="1" applyFont="1" applyBorder="1" applyAlignment="1">
      <alignment horizontal="right"/>
    </xf>
    <xf numFmtId="164" fontId="4410" fillId="0" borderId="4746" xfId="0" applyNumberFormat="1" applyFont="1" applyBorder="1" applyAlignment="1">
      <alignment horizontal="right"/>
    </xf>
    <xf numFmtId="164" fontId="4298" fillId="0" borderId="4634" xfId="0" applyNumberFormat="1" applyFont="1" applyBorder="1" applyAlignment="1">
      <alignment horizontal="right"/>
    </xf>
    <xf numFmtId="164" fontId="4337" fillId="0" borderId="4673" xfId="0" applyNumberFormat="1" applyFont="1" applyBorder="1" applyAlignment="1">
      <alignment horizontal="right"/>
    </xf>
    <xf numFmtId="164" fontId="4372" fillId="0" borderId="4708" xfId="0" applyNumberFormat="1" applyFont="1" applyBorder="1" applyAlignment="1">
      <alignment horizontal="right"/>
    </xf>
    <xf numFmtId="164" fontId="4411" fillId="0" borderId="4747" xfId="0" applyNumberFormat="1" applyFont="1" applyBorder="1" applyAlignment="1">
      <alignment horizontal="right"/>
    </xf>
    <xf numFmtId="164" fontId="4299" fillId="0" borderId="4635" xfId="0" applyNumberFormat="1" applyFont="1" applyBorder="1" applyAlignment="1">
      <alignment horizontal="right"/>
    </xf>
    <xf numFmtId="164" fontId="4338" fillId="0" borderId="4674" xfId="0" applyNumberFormat="1" applyFont="1" applyBorder="1" applyAlignment="1">
      <alignment horizontal="right"/>
    </xf>
    <xf numFmtId="164" fontId="4373" fillId="0" borderId="4709" xfId="0" applyNumberFormat="1" applyFont="1" applyBorder="1" applyAlignment="1">
      <alignment horizontal="right"/>
    </xf>
    <xf numFmtId="164" fontId="4412" fillId="0" borderId="4748" xfId="0" applyNumberFormat="1" applyFont="1" applyBorder="1" applyAlignment="1">
      <alignment horizontal="right"/>
    </xf>
    <xf numFmtId="164" fontId="4300" fillId="0" borderId="4636" xfId="0" applyNumberFormat="1" applyFont="1" applyBorder="1" applyAlignment="1">
      <alignment horizontal="right"/>
    </xf>
    <xf numFmtId="164" fontId="4339" fillId="0" borderId="4675" xfId="0" applyNumberFormat="1" applyFont="1" applyBorder="1" applyAlignment="1">
      <alignment horizontal="right"/>
    </xf>
    <xf numFmtId="164" fontId="4374" fillId="0" borderId="4710" xfId="0" applyNumberFormat="1" applyFont="1" applyBorder="1" applyAlignment="1">
      <alignment horizontal="right"/>
    </xf>
    <xf numFmtId="164" fontId="4413" fillId="0" borderId="4749" xfId="0" applyNumberFormat="1" applyFont="1" applyBorder="1" applyAlignment="1">
      <alignment horizontal="right"/>
    </xf>
    <xf numFmtId="164" fontId="4301" fillId="0" borderId="4637" xfId="0" applyNumberFormat="1" applyFont="1" applyBorder="1" applyAlignment="1">
      <alignment horizontal="right"/>
    </xf>
    <xf numFmtId="164" fontId="4340" fillId="0" borderId="4676" xfId="0" applyNumberFormat="1" applyFont="1" applyBorder="1" applyAlignment="1">
      <alignment horizontal="right"/>
    </xf>
    <xf numFmtId="164" fontId="4375" fillId="0" borderId="4711" xfId="0" applyNumberFormat="1" applyFont="1" applyBorder="1" applyAlignment="1">
      <alignment horizontal="right"/>
    </xf>
    <xf numFmtId="164" fontId="4414" fillId="0" borderId="4750" xfId="0" applyNumberFormat="1" applyFont="1" applyBorder="1" applyAlignment="1">
      <alignment horizontal="right"/>
    </xf>
    <xf numFmtId="164" fontId="4302" fillId="0" borderId="4638" xfId="0" applyNumberFormat="1" applyFont="1" applyBorder="1" applyAlignment="1">
      <alignment horizontal="right"/>
    </xf>
    <xf numFmtId="164" fontId="4341" fillId="0" borderId="4677" xfId="0" applyNumberFormat="1" applyFont="1" applyBorder="1" applyAlignment="1">
      <alignment horizontal="right"/>
    </xf>
    <xf numFmtId="164" fontId="4376" fillId="0" borderId="4712" xfId="0" applyNumberFormat="1" applyFont="1" applyBorder="1" applyAlignment="1">
      <alignment horizontal="right"/>
    </xf>
    <xf numFmtId="164" fontId="4415" fillId="0" borderId="4751" xfId="0" applyNumberFormat="1" applyFont="1" applyBorder="1" applyAlignment="1">
      <alignment horizontal="right"/>
    </xf>
    <xf numFmtId="164" fontId="4303" fillId="0" borderId="4639" xfId="0" applyNumberFormat="1" applyFont="1" applyBorder="1" applyAlignment="1">
      <alignment horizontal="right"/>
    </xf>
    <xf numFmtId="164" fontId="4342" fillId="0" borderId="4678" xfId="0" applyNumberFormat="1" applyFont="1" applyBorder="1" applyAlignment="1">
      <alignment horizontal="right"/>
    </xf>
    <xf numFmtId="164" fontId="4377" fillId="0" borderId="4713" xfId="0" applyNumberFormat="1" applyFont="1" applyBorder="1" applyAlignment="1">
      <alignment horizontal="right"/>
    </xf>
    <xf numFmtId="164" fontId="4416" fillId="0" borderId="4752" xfId="0" applyNumberFormat="1" applyFont="1" applyBorder="1" applyAlignment="1">
      <alignment horizontal="right"/>
    </xf>
    <xf numFmtId="164" fontId="4266" fillId="0" borderId="4602" xfId="0" applyNumberFormat="1" applyFont="1" applyBorder="1" applyAlignment="1">
      <alignment horizontal="right"/>
    </xf>
    <xf numFmtId="164" fontId="4305" fillId="0" borderId="4641" xfId="0" applyNumberFormat="1" applyFont="1" applyBorder="1" applyAlignment="1">
      <alignment horizontal="right"/>
    </xf>
    <xf numFmtId="164" fontId="4344" fillId="0" borderId="4680" xfId="0" applyNumberFormat="1" applyFont="1" applyBorder="1" applyAlignment="1">
      <alignment horizontal="right"/>
    </xf>
    <xf numFmtId="164" fontId="4379" fillId="0" borderId="4715" xfId="0" applyNumberFormat="1" applyFont="1" applyBorder="1" applyAlignment="1">
      <alignment horizontal="right"/>
    </xf>
    <xf numFmtId="164" fontId="341" fillId="0" borderId="369" xfId="0" applyNumberFormat="1" applyFont="1" applyBorder="1" applyAlignment="1">
      <alignment horizontal="right"/>
    </xf>
    <xf numFmtId="164" fontId="426" fillId="0" borderId="461" xfId="0" applyNumberFormat="1" applyFont="1" applyBorder="1" applyAlignment="1">
      <alignment horizontal="right"/>
    </xf>
    <xf numFmtId="164" fontId="509" fillId="0" borderId="551" xfId="0" applyNumberFormat="1" applyFont="1" applyBorder="1" applyAlignment="1">
      <alignment horizontal="right"/>
    </xf>
    <xf numFmtId="164" fontId="586" fillId="0" borderId="635" xfId="0" applyNumberFormat="1" applyFont="1" applyBorder="1" applyAlignment="1">
      <alignment horizontal="right"/>
    </xf>
    <xf numFmtId="164" fontId="342" fillId="0" borderId="370" xfId="0" applyNumberFormat="1" applyFont="1" applyBorder="1" applyAlignment="1">
      <alignment horizontal="right"/>
    </xf>
    <xf numFmtId="164" fontId="427" fillId="0" borderId="462" xfId="0" applyNumberFormat="1" applyFont="1" applyBorder="1" applyAlignment="1">
      <alignment horizontal="right"/>
    </xf>
    <xf numFmtId="164" fontId="510" fillId="0" borderId="552" xfId="0" applyNumberFormat="1" applyFont="1" applyBorder="1" applyAlignment="1">
      <alignment horizontal="right"/>
    </xf>
    <xf numFmtId="164" fontId="587" fillId="0" borderId="636" xfId="0" applyNumberFormat="1" applyFont="1" applyBorder="1" applyAlignment="1">
      <alignment horizontal="right"/>
    </xf>
    <xf numFmtId="164" fontId="343" fillId="0" borderId="371" xfId="0" applyNumberFormat="1" applyFont="1" applyBorder="1" applyAlignment="1">
      <alignment horizontal="right"/>
    </xf>
    <xf numFmtId="164" fontId="428" fillId="0" borderId="463" xfId="0" applyNumberFormat="1" applyFont="1" applyBorder="1" applyAlignment="1">
      <alignment horizontal="right"/>
    </xf>
    <xf numFmtId="164" fontId="511" fillId="0" borderId="553" xfId="0" applyNumberFormat="1" applyFont="1" applyBorder="1" applyAlignment="1">
      <alignment horizontal="right"/>
    </xf>
    <xf numFmtId="164" fontId="588" fillId="0" borderId="637" xfId="0" applyNumberFormat="1" applyFont="1" applyBorder="1" applyAlignment="1">
      <alignment horizontal="right"/>
    </xf>
    <xf numFmtId="164" fontId="344" fillId="0" borderId="372" xfId="0" applyNumberFormat="1" applyFont="1" applyBorder="1" applyAlignment="1">
      <alignment horizontal="right"/>
    </xf>
    <xf numFmtId="164" fontId="429" fillId="0" borderId="464" xfId="0" applyNumberFormat="1" applyFont="1" applyBorder="1" applyAlignment="1">
      <alignment horizontal="right"/>
    </xf>
    <xf numFmtId="164" fontId="512" fillId="0" borderId="554" xfId="0" applyNumberFormat="1" applyFont="1" applyBorder="1" applyAlignment="1">
      <alignment horizontal="right"/>
    </xf>
    <xf numFmtId="164" fontId="589" fillId="0" borderId="638" xfId="0" applyNumberFormat="1" applyFont="1" applyBorder="1" applyAlignment="1">
      <alignment horizontal="right"/>
    </xf>
    <xf numFmtId="164" fontId="345" fillId="0" borderId="373" xfId="0" applyNumberFormat="1" applyFont="1" applyBorder="1" applyAlignment="1">
      <alignment horizontal="right"/>
    </xf>
    <xf numFmtId="164" fontId="430" fillId="0" borderId="465" xfId="0" applyNumberFormat="1" applyFont="1" applyBorder="1" applyAlignment="1">
      <alignment horizontal="right"/>
    </xf>
    <xf numFmtId="164" fontId="513" fillId="0" borderId="555" xfId="0" applyNumberFormat="1" applyFont="1" applyBorder="1" applyAlignment="1">
      <alignment horizontal="right"/>
    </xf>
    <xf numFmtId="164" fontId="590" fillId="0" borderId="639" xfId="0" applyNumberFormat="1" applyFont="1" applyBorder="1" applyAlignment="1">
      <alignment horizontal="right"/>
    </xf>
    <xf numFmtId="164" fontId="346" fillId="0" borderId="374" xfId="0" applyNumberFormat="1" applyFont="1" applyBorder="1" applyAlignment="1">
      <alignment horizontal="right"/>
    </xf>
    <xf numFmtId="164" fontId="431" fillId="0" borderId="466" xfId="0" applyNumberFormat="1" applyFont="1" applyBorder="1" applyAlignment="1">
      <alignment horizontal="right"/>
    </xf>
    <xf numFmtId="164" fontId="514" fillId="0" borderId="556" xfId="0" applyNumberFormat="1" applyFont="1" applyBorder="1" applyAlignment="1">
      <alignment horizontal="right"/>
    </xf>
    <xf numFmtId="164" fontId="591" fillId="0" borderId="640" xfId="0" applyNumberFormat="1" applyFont="1" applyBorder="1" applyAlignment="1">
      <alignment horizontal="right"/>
    </xf>
    <xf numFmtId="164" fontId="347" fillId="0" borderId="375" xfId="0" applyNumberFormat="1" applyFont="1" applyBorder="1" applyAlignment="1">
      <alignment horizontal="right"/>
    </xf>
    <xf numFmtId="164" fontId="432" fillId="0" borderId="467" xfId="0" applyNumberFormat="1" applyFont="1" applyBorder="1" applyAlignment="1">
      <alignment horizontal="right"/>
    </xf>
    <xf numFmtId="164" fontId="515" fillId="0" borderId="557" xfId="0" applyNumberFormat="1" applyFont="1" applyBorder="1" applyAlignment="1">
      <alignment horizontal="right"/>
    </xf>
    <xf numFmtId="164" fontId="592" fillId="0" borderId="641" xfId="0" applyNumberFormat="1" applyFont="1" applyBorder="1" applyAlignment="1">
      <alignment horizontal="right"/>
    </xf>
    <xf numFmtId="164" fontId="348" fillId="0" borderId="376" xfId="0" applyNumberFormat="1" applyFont="1" applyBorder="1" applyAlignment="1">
      <alignment horizontal="right"/>
    </xf>
    <xf numFmtId="164" fontId="433" fillId="0" borderId="468" xfId="0" applyNumberFormat="1" applyFont="1" applyBorder="1" applyAlignment="1">
      <alignment horizontal="right"/>
    </xf>
    <xf numFmtId="164" fontId="516" fillId="0" borderId="558" xfId="0" applyNumberFormat="1" applyFont="1" applyBorder="1" applyAlignment="1">
      <alignment horizontal="right"/>
    </xf>
    <xf numFmtId="164" fontId="593" fillId="0" borderId="642" xfId="0" applyNumberFormat="1" applyFont="1" applyBorder="1" applyAlignment="1">
      <alignment horizontal="right"/>
    </xf>
    <xf numFmtId="164" fontId="349" fillId="0" borderId="377" xfId="0" applyNumberFormat="1" applyFont="1" applyBorder="1" applyAlignment="1">
      <alignment horizontal="right"/>
    </xf>
    <xf numFmtId="164" fontId="434" fillId="0" borderId="469" xfId="0" applyNumberFormat="1" applyFont="1" applyBorder="1" applyAlignment="1">
      <alignment horizontal="right"/>
    </xf>
    <xf numFmtId="164" fontId="517" fillId="0" borderId="559" xfId="0" applyNumberFormat="1" applyFont="1" applyBorder="1" applyAlignment="1">
      <alignment horizontal="right"/>
    </xf>
    <xf numFmtId="164" fontId="594" fillId="0" borderId="643" xfId="0" applyNumberFormat="1" applyFont="1" applyBorder="1" applyAlignment="1">
      <alignment horizontal="right"/>
    </xf>
    <xf numFmtId="164" fontId="350" fillId="0" borderId="378" xfId="0" applyNumberFormat="1" applyFont="1" applyBorder="1" applyAlignment="1">
      <alignment horizontal="right"/>
    </xf>
    <xf numFmtId="164" fontId="435" fillId="0" borderId="470" xfId="0" applyNumberFormat="1" applyFont="1" applyBorder="1" applyAlignment="1">
      <alignment horizontal="right"/>
    </xf>
    <xf numFmtId="164" fontId="518" fillId="0" borderId="560" xfId="0" applyNumberFormat="1" applyFont="1" applyBorder="1" applyAlignment="1">
      <alignment horizontal="right"/>
    </xf>
    <xf numFmtId="164" fontId="595" fillId="0" borderId="644" xfId="0" applyNumberFormat="1" applyFont="1" applyBorder="1" applyAlignment="1">
      <alignment horizontal="right"/>
    </xf>
    <xf numFmtId="164" fontId="351" fillId="0" borderId="379" xfId="0" applyNumberFormat="1" applyFont="1" applyBorder="1" applyAlignment="1">
      <alignment horizontal="right"/>
    </xf>
    <xf numFmtId="164" fontId="436" fillId="0" borderId="471" xfId="0" applyNumberFormat="1" applyFont="1" applyBorder="1" applyAlignment="1">
      <alignment horizontal="right"/>
    </xf>
    <xf numFmtId="164" fontId="519" fillId="0" borderId="561" xfId="0" applyNumberFormat="1" applyFont="1" applyBorder="1" applyAlignment="1">
      <alignment horizontal="right"/>
    </xf>
    <xf numFmtId="164" fontId="596" fillId="0" borderId="645" xfId="0" applyNumberFormat="1" applyFont="1" applyBorder="1" applyAlignment="1">
      <alignment horizontal="right"/>
    </xf>
    <xf numFmtId="164" fontId="352" fillId="0" borderId="380" xfId="0" applyNumberFormat="1" applyFont="1" applyBorder="1" applyAlignment="1">
      <alignment horizontal="right"/>
    </xf>
    <xf numFmtId="164" fontId="437" fillId="0" borderId="472" xfId="0" applyNumberFormat="1" applyFont="1" applyBorder="1" applyAlignment="1">
      <alignment horizontal="right"/>
    </xf>
    <xf numFmtId="164" fontId="520" fillId="0" borderId="562" xfId="0" applyNumberFormat="1" applyFont="1" applyBorder="1" applyAlignment="1">
      <alignment horizontal="right"/>
    </xf>
    <xf numFmtId="164" fontId="597" fillId="0" borderId="646" xfId="0" applyNumberFormat="1" applyFont="1" applyBorder="1" applyAlignment="1">
      <alignment horizontal="right"/>
    </xf>
    <xf numFmtId="164" fontId="353" fillId="0" borderId="381" xfId="0" applyNumberFormat="1" applyFont="1" applyBorder="1" applyAlignment="1">
      <alignment horizontal="right"/>
    </xf>
    <xf numFmtId="164" fontId="438" fillId="0" borderId="473" xfId="0" applyNumberFormat="1" applyFont="1" applyBorder="1" applyAlignment="1">
      <alignment horizontal="right"/>
    </xf>
    <xf numFmtId="164" fontId="521" fillId="0" borderId="563" xfId="0" applyNumberFormat="1" applyFont="1" applyBorder="1" applyAlignment="1">
      <alignment horizontal="right"/>
    </xf>
    <xf numFmtId="164" fontId="598" fillId="0" borderId="647" xfId="0" applyNumberFormat="1" applyFont="1" applyBorder="1" applyAlignment="1">
      <alignment horizontal="right"/>
    </xf>
    <xf numFmtId="164" fontId="354" fillId="0" borderId="382" xfId="0" applyNumberFormat="1" applyFont="1" applyBorder="1" applyAlignment="1">
      <alignment horizontal="right"/>
    </xf>
    <xf numFmtId="164" fontId="439" fillId="0" borderId="474" xfId="0" applyNumberFormat="1" applyFont="1" applyBorder="1" applyAlignment="1">
      <alignment horizontal="right"/>
    </xf>
    <xf numFmtId="164" fontId="522" fillId="0" borderId="564" xfId="0" applyNumberFormat="1" applyFont="1" applyBorder="1" applyAlignment="1">
      <alignment horizontal="right"/>
    </xf>
    <xf numFmtId="164" fontId="599" fillId="0" borderId="648" xfId="0" applyNumberFormat="1" applyFont="1" applyBorder="1" applyAlignment="1">
      <alignment horizontal="right"/>
    </xf>
    <xf numFmtId="164" fontId="355" fillId="0" borderId="383" xfId="0" applyNumberFormat="1" applyFont="1" applyBorder="1" applyAlignment="1">
      <alignment horizontal="right"/>
    </xf>
    <xf numFmtId="164" fontId="440" fillId="0" borderId="475" xfId="0" applyNumberFormat="1" applyFont="1" applyBorder="1" applyAlignment="1">
      <alignment horizontal="right"/>
    </xf>
    <xf numFmtId="164" fontId="523" fillId="0" borderId="565" xfId="0" applyNumberFormat="1" applyFont="1" applyBorder="1" applyAlignment="1">
      <alignment horizontal="right"/>
    </xf>
    <xf numFmtId="164" fontId="600" fillId="0" borderId="649" xfId="0" applyNumberFormat="1" applyFont="1" applyBorder="1" applyAlignment="1">
      <alignment horizontal="right"/>
    </xf>
    <xf numFmtId="164" fontId="331" fillId="0" borderId="359" xfId="0" applyNumberFormat="1" applyFont="1" applyBorder="1" applyAlignment="1">
      <alignment horizontal="right"/>
    </xf>
    <xf numFmtId="164" fontId="416" fillId="0" borderId="451" xfId="0" applyNumberFormat="1" applyFont="1" applyBorder="1" applyAlignment="1">
      <alignment horizontal="right"/>
    </xf>
    <xf numFmtId="164" fontId="501" fillId="0" borderId="543" xfId="0" applyNumberFormat="1" applyFont="1" applyBorder="1" applyAlignment="1">
      <alignment horizontal="right"/>
    </xf>
    <xf numFmtId="164" fontId="576" fillId="0" borderId="625" xfId="0" applyNumberFormat="1" applyFont="1" applyBorder="1" applyAlignment="1">
      <alignment horizontal="right"/>
    </xf>
    <xf numFmtId="164" fontId="361" fillId="0" borderId="389" xfId="0" applyNumberFormat="1" applyFont="1" applyBorder="1" applyAlignment="1">
      <alignment horizontal="right"/>
    </xf>
    <xf numFmtId="164" fontId="446" fillId="0" borderId="481" xfId="0" applyNumberFormat="1" applyFont="1" applyBorder="1" applyAlignment="1">
      <alignment horizontal="right"/>
    </xf>
    <xf numFmtId="164" fontId="527" fillId="0" borderId="569" xfId="0" applyNumberFormat="1" applyFont="1" applyBorder="1" applyAlignment="1">
      <alignment horizontal="right"/>
    </xf>
    <xf numFmtId="164" fontId="606" fillId="0" borderId="655" xfId="0" applyNumberFormat="1" applyFont="1" applyBorder="1" applyAlignment="1">
      <alignment horizontal="right"/>
    </xf>
    <xf numFmtId="164" fontId="362" fillId="0" borderId="390" xfId="0" applyNumberFormat="1" applyFont="1" applyBorder="1" applyAlignment="1">
      <alignment horizontal="right"/>
    </xf>
    <xf numFmtId="164" fontId="447" fillId="0" borderId="482" xfId="0" applyNumberFormat="1" applyFont="1" applyBorder="1" applyAlignment="1">
      <alignment horizontal="right"/>
    </xf>
    <xf numFmtId="164" fontId="528" fillId="0" borderId="570" xfId="0" applyNumberFormat="1" applyFont="1" applyBorder="1" applyAlignment="1">
      <alignment horizontal="right"/>
    </xf>
    <xf numFmtId="164" fontId="607" fillId="0" borderId="656" xfId="0" applyNumberFormat="1" applyFont="1" applyBorder="1" applyAlignment="1">
      <alignment horizontal="right"/>
    </xf>
    <xf numFmtId="164" fontId="363" fillId="0" borderId="391" xfId="0" applyNumberFormat="1" applyFont="1" applyBorder="1" applyAlignment="1">
      <alignment horizontal="right"/>
    </xf>
    <xf numFmtId="164" fontId="448" fillId="0" borderId="483" xfId="0" applyNumberFormat="1" applyFont="1" applyBorder="1" applyAlignment="1">
      <alignment horizontal="right"/>
    </xf>
    <xf numFmtId="164" fontId="529" fillId="0" borderId="571" xfId="0" applyNumberFormat="1" applyFont="1" applyBorder="1" applyAlignment="1">
      <alignment horizontal="right"/>
    </xf>
    <xf numFmtId="164" fontId="608" fillId="0" borderId="657" xfId="0" applyNumberFormat="1" applyFont="1" applyBorder="1" applyAlignment="1">
      <alignment horizontal="right"/>
    </xf>
    <xf numFmtId="164" fontId="364" fillId="0" borderId="392" xfId="0" applyNumberFormat="1" applyFont="1" applyBorder="1" applyAlignment="1">
      <alignment horizontal="right"/>
    </xf>
    <xf numFmtId="164" fontId="449" fillId="0" borderId="484" xfId="0" applyNumberFormat="1" applyFont="1" applyBorder="1" applyAlignment="1">
      <alignment horizontal="right"/>
    </xf>
    <xf numFmtId="164" fontId="530" fillId="0" borderId="572" xfId="0" applyNumberFormat="1" applyFont="1" applyBorder="1" applyAlignment="1">
      <alignment horizontal="right"/>
    </xf>
    <xf numFmtId="164" fontId="609" fillId="0" borderId="658" xfId="0" applyNumberFormat="1" applyFont="1" applyBorder="1" applyAlignment="1">
      <alignment horizontal="right"/>
    </xf>
    <xf numFmtId="164" fontId="365" fillId="0" borderId="393" xfId="0" applyNumberFormat="1" applyFont="1" applyBorder="1" applyAlignment="1">
      <alignment horizontal="right"/>
    </xf>
    <xf numFmtId="164" fontId="450" fillId="0" borderId="485" xfId="0" applyNumberFormat="1" applyFont="1" applyBorder="1" applyAlignment="1">
      <alignment horizontal="right"/>
    </xf>
    <xf numFmtId="164" fontId="531" fillId="0" borderId="573" xfId="0" applyNumberFormat="1" applyFont="1" applyBorder="1" applyAlignment="1">
      <alignment horizontal="right"/>
    </xf>
    <xf numFmtId="164" fontId="610" fillId="0" borderId="659" xfId="0" applyNumberFormat="1" applyFont="1" applyBorder="1" applyAlignment="1">
      <alignment horizontal="right"/>
    </xf>
    <xf numFmtId="164" fontId="366" fillId="0" borderId="394" xfId="0" applyNumberFormat="1" applyFont="1" applyBorder="1" applyAlignment="1">
      <alignment horizontal="right"/>
    </xf>
    <xf numFmtId="164" fontId="451" fillId="0" borderId="486" xfId="0" applyNumberFormat="1" applyFont="1" applyBorder="1" applyAlignment="1">
      <alignment horizontal="right"/>
    </xf>
    <xf numFmtId="164" fontId="532" fillId="0" borderId="574" xfId="0" applyNumberFormat="1" applyFont="1" applyBorder="1" applyAlignment="1">
      <alignment horizontal="right"/>
    </xf>
    <xf numFmtId="164" fontId="611" fillId="0" borderId="660" xfId="0" applyNumberFormat="1" applyFont="1" applyBorder="1" applyAlignment="1">
      <alignment horizontal="right"/>
    </xf>
    <xf numFmtId="164" fontId="367" fillId="0" borderId="395" xfId="0" applyNumberFormat="1" applyFont="1" applyBorder="1" applyAlignment="1">
      <alignment horizontal="right"/>
    </xf>
    <xf numFmtId="164" fontId="452" fillId="0" borderId="487" xfId="0" applyNumberFormat="1" applyFont="1" applyBorder="1" applyAlignment="1">
      <alignment horizontal="right"/>
    </xf>
    <xf numFmtId="164" fontId="533" fillId="0" borderId="575" xfId="0" applyNumberFormat="1" applyFont="1" applyBorder="1" applyAlignment="1">
      <alignment horizontal="right"/>
    </xf>
    <xf numFmtId="164" fontId="612" fillId="0" borderId="661" xfId="0" applyNumberFormat="1" applyFont="1" applyBorder="1" applyAlignment="1">
      <alignment horizontal="right"/>
    </xf>
    <xf numFmtId="164" fontId="368" fillId="0" borderId="396" xfId="0" applyNumberFormat="1" applyFont="1" applyBorder="1" applyAlignment="1">
      <alignment horizontal="right"/>
    </xf>
    <xf numFmtId="164" fontId="453" fillId="0" borderId="488" xfId="0" applyNumberFormat="1" applyFont="1" applyBorder="1" applyAlignment="1">
      <alignment horizontal="right"/>
    </xf>
    <xf numFmtId="164" fontId="534" fillId="0" borderId="576" xfId="0" applyNumberFormat="1" applyFont="1" applyBorder="1" applyAlignment="1">
      <alignment horizontal="right"/>
    </xf>
    <xf numFmtId="164" fontId="613" fillId="0" borderId="662" xfId="0" applyNumberFormat="1" applyFont="1" applyBorder="1" applyAlignment="1">
      <alignment horizontal="right"/>
    </xf>
    <xf numFmtId="164" fontId="369" fillId="0" borderId="397" xfId="0" applyNumberFormat="1" applyFont="1" applyBorder="1" applyAlignment="1">
      <alignment horizontal="right"/>
    </xf>
    <xf numFmtId="164" fontId="454" fillId="0" borderId="489" xfId="0" applyNumberFormat="1" applyFont="1" applyBorder="1" applyAlignment="1">
      <alignment horizontal="right"/>
    </xf>
    <xf numFmtId="164" fontId="535" fillId="0" borderId="577" xfId="0" applyNumberFormat="1" applyFont="1" applyBorder="1" applyAlignment="1">
      <alignment horizontal="right"/>
    </xf>
    <xf numFmtId="164" fontId="614" fillId="0" borderId="663" xfId="0" applyNumberFormat="1" applyFont="1" applyBorder="1" applyAlignment="1">
      <alignment horizontal="right"/>
    </xf>
    <xf numFmtId="164" fontId="370" fillId="0" borderId="398" xfId="0" applyNumberFormat="1" applyFont="1" applyBorder="1" applyAlignment="1">
      <alignment horizontal="right"/>
    </xf>
    <xf numFmtId="164" fontId="455" fillId="0" borderId="490" xfId="0" applyNumberFormat="1" applyFont="1" applyBorder="1" applyAlignment="1">
      <alignment horizontal="right"/>
    </xf>
    <xf numFmtId="164" fontId="536" fillId="0" borderId="578" xfId="0" applyNumberFormat="1" applyFont="1" applyBorder="1" applyAlignment="1">
      <alignment horizontal="right"/>
    </xf>
    <xf numFmtId="164" fontId="615" fillId="0" borderId="664" xfId="0" applyNumberFormat="1" applyFont="1" applyBorder="1" applyAlignment="1">
      <alignment horizontal="right"/>
    </xf>
    <xf numFmtId="164" fontId="371" fillId="0" borderId="399" xfId="0" applyNumberFormat="1" applyFont="1" applyBorder="1" applyAlignment="1">
      <alignment horizontal="right"/>
    </xf>
    <xf numFmtId="164" fontId="456" fillId="0" borderId="491" xfId="0" applyNumberFormat="1" applyFont="1" applyBorder="1" applyAlignment="1">
      <alignment horizontal="right"/>
    </xf>
    <xf numFmtId="164" fontId="537" fillId="0" borderId="579" xfId="0" applyNumberFormat="1" applyFont="1" applyBorder="1" applyAlignment="1">
      <alignment horizontal="right"/>
    </xf>
    <xf numFmtId="164" fontId="616" fillId="0" borderId="665" xfId="0" applyNumberFormat="1" applyFont="1" applyBorder="1" applyAlignment="1">
      <alignment horizontal="right"/>
    </xf>
    <xf numFmtId="164" fontId="372" fillId="0" borderId="400" xfId="0" applyNumberFormat="1" applyFont="1" applyBorder="1" applyAlignment="1">
      <alignment horizontal="right"/>
    </xf>
    <xf numFmtId="164" fontId="457" fillId="0" borderId="492" xfId="0" applyNumberFormat="1" applyFont="1" applyBorder="1" applyAlignment="1">
      <alignment horizontal="right"/>
    </xf>
    <xf numFmtId="164" fontId="538" fillId="0" borderId="580" xfId="0" applyNumberFormat="1" applyFont="1" applyBorder="1" applyAlignment="1">
      <alignment horizontal="right"/>
    </xf>
    <xf numFmtId="164" fontId="617" fillId="0" borderId="666" xfId="0" applyNumberFormat="1" applyFont="1" applyBorder="1" applyAlignment="1">
      <alignment horizontal="right"/>
    </xf>
    <xf numFmtId="164" fontId="373" fillId="0" borderId="401" xfId="0" applyNumberFormat="1" applyFont="1" applyBorder="1" applyAlignment="1">
      <alignment horizontal="right"/>
    </xf>
    <xf numFmtId="164" fontId="458" fillId="0" borderId="493" xfId="0" applyNumberFormat="1" applyFont="1" applyBorder="1" applyAlignment="1">
      <alignment horizontal="right"/>
    </xf>
    <xf numFmtId="164" fontId="539" fillId="0" borderId="581" xfId="0" applyNumberFormat="1" applyFont="1" applyBorder="1" applyAlignment="1">
      <alignment horizontal="right"/>
    </xf>
    <xf numFmtId="164" fontId="618" fillId="0" borderId="667" xfId="0" applyNumberFormat="1" applyFont="1" applyBorder="1" applyAlignment="1">
      <alignment horizontal="right"/>
    </xf>
    <xf numFmtId="164" fontId="374" fillId="0" borderId="402" xfId="0" applyNumberFormat="1" applyFont="1" applyBorder="1" applyAlignment="1">
      <alignment horizontal="right"/>
    </xf>
    <xf numFmtId="164" fontId="459" fillId="0" borderId="494" xfId="0" applyNumberFormat="1" applyFont="1" applyBorder="1" applyAlignment="1">
      <alignment horizontal="right"/>
    </xf>
    <xf numFmtId="164" fontId="540" fillId="0" borderId="582" xfId="0" applyNumberFormat="1" applyFont="1" applyBorder="1" applyAlignment="1">
      <alignment horizontal="right"/>
    </xf>
    <xf numFmtId="164" fontId="619" fillId="0" borderId="668" xfId="0" applyNumberFormat="1" applyFont="1" applyBorder="1" applyAlignment="1">
      <alignment horizontal="right"/>
    </xf>
    <xf numFmtId="164" fontId="375" fillId="0" borderId="403" xfId="0" applyNumberFormat="1" applyFont="1" applyBorder="1" applyAlignment="1">
      <alignment horizontal="right"/>
    </xf>
    <xf numFmtId="164" fontId="460" fillId="0" borderId="495" xfId="0" applyNumberFormat="1" applyFont="1" applyBorder="1" applyAlignment="1">
      <alignment horizontal="right"/>
    </xf>
    <xf numFmtId="164" fontId="541" fillId="0" borderId="583" xfId="0" applyNumberFormat="1" applyFont="1" applyBorder="1" applyAlignment="1">
      <alignment horizontal="right"/>
    </xf>
    <xf numFmtId="164" fontId="620" fillId="0" borderId="669" xfId="0" applyNumberFormat="1" applyFont="1" applyBorder="1" applyAlignment="1">
      <alignment horizontal="right"/>
    </xf>
    <xf numFmtId="164" fontId="332" fillId="0" borderId="360" xfId="0" applyNumberFormat="1" applyFont="1" applyBorder="1" applyAlignment="1">
      <alignment horizontal="right"/>
    </xf>
    <xf numFmtId="164" fontId="417" fillId="0" borderId="452" xfId="0" applyNumberFormat="1" applyFont="1" applyBorder="1" applyAlignment="1">
      <alignment horizontal="right"/>
    </xf>
    <xf numFmtId="164" fontId="502" fillId="0" borderId="544" xfId="0" applyNumberFormat="1" applyFont="1" applyBorder="1" applyAlignment="1">
      <alignment horizontal="right"/>
    </xf>
    <xf numFmtId="164" fontId="577" fillId="0" borderId="626" xfId="0" applyNumberFormat="1" applyFont="1" applyBorder="1" applyAlignment="1">
      <alignment horizontal="right"/>
    </xf>
    <xf numFmtId="164" fontId="381" fillId="0" borderId="409" xfId="0" applyNumberFormat="1" applyFont="1" applyBorder="1" applyAlignment="1">
      <alignment horizontal="right"/>
    </xf>
    <xf numFmtId="164" fontId="466" fillId="0" borderId="501" xfId="0" applyNumberFormat="1" applyFont="1" applyBorder="1" applyAlignment="1">
      <alignment horizontal="right"/>
    </xf>
    <xf numFmtId="164" fontId="545" fillId="0" borderId="587" xfId="0" applyNumberFormat="1" applyFont="1" applyBorder="1" applyAlignment="1">
      <alignment horizontal="right"/>
    </xf>
    <xf numFmtId="164" fontId="626" fillId="0" borderId="675" xfId="0" applyNumberFormat="1" applyFont="1" applyBorder="1" applyAlignment="1">
      <alignment horizontal="right"/>
    </xf>
    <xf numFmtId="164" fontId="382" fillId="0" borderId="410" xfId="0" applyNumberFormat="1" applyFont="1" applyBorder="1" applyAlignment="1">
      <alignment horizontal="right"/>
    </xf>
    <xf numFmtId="164" fontId="467" fillId="0" borderId="502" xfId="0" applyNumberFormat="1" applyFont="1" applyBorder="1" applyAlignment="1">
      <alignment horizontal="right"/>
    </xf>
    <xf numFmtId="164" fontId="546" fillId="0" borderId="588" xfId="0" applyNumberFormat="1" applyFont="1" applyBorder="1" applyAlignment="1">
      <alignment horizontal="right"/>
    </xf>
    <xf numFmtId="164" fontId="627" fillId="0" borderId="676" xfId="0" applyNumberFormat="1" applyFont="1" applyBorder="1" applyAlignment="1">
      <alignment horizontal="right"/>
    </xf>
    <xf numFmtId="164" fontId="383" fillId="0" borderId="411" xfId="0" applyNumberFormat="1" applyFont="1" applyBorder="1" applyAlignment="1">
      <alignment horizontal="right"/>
    </xf>
    <xf numFmtId="164" fontId="468" fillId="0" borderId="503" xfId="0" applyNumberFormat="1" applyFont="1" applyBorder="1" applyAlignment="1">
      <alignment horizontal="right"/>
    </xf>
    <xf numFmtId="164" fontId="547" fillId="0" borderId="589" xfId="0" applyNumberFormat="1" applyFont="1" applyBorder="1" applyAlignment="1">
      <alignment horizontal="right"/>
    </xf>
    <xf numFmtId="164" fontId="628" fillId="0" borderId="677" xfId="0" applyNumberFormat="1" applyFont="1" applyBorder="1" applyAlignment="1">
      <alignment horizontal="right"/>
    </xf>
    <xf numFmtId="164" fontId="384" fillId="0" borderId="412" xfId="0" applyNumberFormat="1" applyFont="1" applyBorder="1" applyAlignment="1">
      <alignment horizontal="right"/>
    </xf>
    <xf numFmtId="164" fontId="469" fillId="0" borderId="504" xfId="0" applyNumberFormat="1" applyFont="1" applyBorder="1" applyAlignment="1">
      <alignment horizontal="right"/>
    </xf>
    <xf numFmtId="164" fontId="548" fillId="0" borderId="590" xfId="0" applyNumberFormat="1" applyFont="1" applyBorder="1" applyAlignment="1">
      <alignment horizontal="right"/>
    </xf>
    <xf numFmtId="164" fontId="629" fillId="0" borderId="678" xfId="0" applyNumberFormat="1" applyFont="1" applyBorder="1" applyAlignment="1">
      <alignment horizontal="right"/>
    </xf>
    <xf numFmtId="164" fontId="385" fillId="0" borderId="413" xfId="0" applyNumberFormat="1" applyFont="1" applyBorder="1" applyAlignment="1">
      <alignment horizontal="right"/>
    </xf>
    <xf numFmtId="164" fontId="470" fillId="0" borderId="505" xfId="0" applyNumberFormat="1" applyFont="1" applyBorder="1" applyAlignment="1">
      <alignment horizontal="right"/>
    </xf>
    <xf numFmtId="164" fontId="549" fillId="0" borderId="591" xfId="0" applyNumberFormat="1" applyFont="1" applyBorder="1" applyAlignment="1">
      <alignment horizontal="right"/>
    </xf>
    <xf numFmtId="164" fontId="630" fillId="0" borderId="679" xfId="0" applyNumberFormat="1" applyFont="1" applyBorder="1" applyAlignment="1">
      <alignment horizontal="right"/>
    </xf>
    <xf numFmtId="164" fontId="386" fillId="0" borderId="414" xfId="0" applyNumberFormat="1" applyFont="1" applyBorder="1" applyAlignment="1">
      <alignment horizontal="right"/>
    </xf>
    <xf numFmtId="164" fontId="471" fillId="0" borderId="506" xfId="0" applyNumberFormat="1" applyFont="1" applyBorder="1" applyAlignment="1">
      <alignment horizontal="right"/>
    </xf>
    <xf numFmtId="164" fontId="550" fillId="0" borderId="592" xfId="0" applyNumberFormat="1" applyFont="1" applyBorder="1" applyAlignment="1">
      <alignment horizontal="right"/>
    </xf>
    <xf numFmtId="164" fontId="631" fillId="0" borderId="680" xfId="0" applyNumberFormat="1" applyFont="1" applyBorder="1" applyAlignment="1">
      <alignment horizontal="right"/>
    </xf>
    <xf numFmtId="164" fontId="387" fillId="0" borderId="415" xfId="0" applyNumberFormat="1" applyFont="1" applyBorder="1" applyAlignment="1">
      <alignment horizontal="right"/>
    </xf>
    <xf numFmtId="164" fontId="472" fillId="0" borderId="507" xfId="0" applyNumberFormat="1" applyFont="1" applyBorder="1" applyAlignment="1">
      <alignment horizontal="right"/>
    </xf>
    <xf numFmtId="164" fontId="551" fillId="0" borderId="593" xfId="0" applyNumberFormat="1" applyFont="1" applyBorder="1" applyAlignment="1">
      <alignment horizontal="right"/>
    </xf>
    <xf numFmtId="164" fontId="632" fillId="0" borderId="681" xfId="0" applyNumberFormat="1" applyFont="1" applyBorder="1" applyAlignment="1">
      <alignment horizontal="right"/>
    </xf>
    <xf numFmtId="164" fontId="388" fillId="0" borderId="416" xfId="0" applyNumberFormat="1" applyFont="1" applyBorder="1" applyAlignment="1">
      <alignment horizontal="right"/>
    </xf>
    <xf numFmtId="164" fontId="473" fillId="0" borderId="508" xfId="0" applyNumberFormat="1" applyFont="1" applyBorder="1" applyAlignment="1">
      <alignment horizontal="right"/>
    </xf>
    <xf numFmtId="164" fontId="552" fillId="0" borderId="594" xfId="0" applyNumberFormat="1" applyFont="1" applyBorder="1" applyAlignment="1">
      <alignment horizontal="right"/>
    </xf>
    <xf numFmtId="164" fontId="633" fillId="0" borderId="682" xfId="0" applyNumberFormat="1" applyFont="1" applyBorder="1" applyAlignment="1">
      <alignment horizontal="right"/>
    </xf>
    <xf numFmtId="164" fontId="389" fillId="0" borderId="417" xfId="0" applyNumberFormat="1" applyFont="1" applyBorder="1" applyAlignment="1">
      <alignment horizontal="right"/>
    </xf>
    <xf numFmtId="164" fontId="474" fillId="0" borderId="509" xfId="0" applyNumberFormat="1" applyFont="1" applyBorder="1" applyAlignment="1">
      <alignment horizontal="right"/>
    </xf>
    <xf numFmtId="164" fontId="553" fillId="0" borderId="595" xfId="0" applyNumberFormat="1" applyFont="1" applyBorder="1" applyAlignment="1">
      <alignment horizontal="right"/>
    </xf>
    <xf numFmtId="164" fontId="634" fillId="0" borderId="683" xfId="0" applyNumberFormat="1" applyFont="1" applyBorder="1" applyAlignment="1">
      <alignment horizontal="right"/>
    </xf>
    <xf numFmtId="164" fontId="390" fillId="0" borderId="418" xfId="0" applyNumberFormat="1" applyFont="1" applyBorder="1" applyAlignment="1">
      <alignment horizontal="right"/>
    </xf>
    <xf numFmtId="164" fontId="475" fillId="0" borderId="510" xfId="0" applyNumberFormat="1" applyFont="1" applyBorder="1" applyAlignment="1">
      <alignment horizontal="right"/>
    </xf>
    <xf numFmtId="164" fontId="554" fillId="0" borderId="596" xfId="0" applyNumberFormat="1" applyFont="1" applyBorder="1" applyAlignment="1">
      <alignment horizontal="right"/>
    </xf>
    <xf numFmtId="164" fontId="635" fillId="0" borderId="684" xfId="0" applyNumberFormat="1" applyFont="1" applyBorder="1" applyAlignment="1">
      <alignment horizontal="right"/>
    </xf>
    <xf numFmtId="164" fontId="391" fillId="0" borderId="419" xfId="0" applyNumberFormat="1" applyFont="1" applyBorder="1" applyAlignment="1">
      <alignment horizontal="right"/>
    </xf>
    <xf numFmtId="164" fontId="476" fillId="0" borderId="511" xfId="0" applyNumberFormat="1" applyFont="1" applyBorder="1" applyAlignment="1">
      <alignment horizontal="right"/>
    </xf>
    <xf numFmtId="164" fontId="555" fillId="0" borderId="597" xfId="0" applyNumberFormat="1" applyFont="1" applyBorder="1" applyAlignment="1">
      <alignment horizontal="right"/>
    </xf>
    <xf numFmtId="164" fontId="636" fillId="0" borderId="685" xfId="0" applyNumberFormat="1" applyFont="1" applyBorder="1" applyAlignment="1">
      <alignment horizontal="right"/>
    </xf>
    <xf numFmtId="164" fontId="392" fillId="0" borderId="420" xfId="0" applyNumberFormat="1" applyFont="1" applyBorder="1" applyAlignment="1">
      <alignment horizontal="right"/>
    </xf>
    <xf numFmtId="164" fontId="477" fillId="0" borderId="512" xfId="0" applyNumberFormat="1" applyFont="1" applyBorder="1" applyAlignment="1">
      <alignment horizontal="right"/>
    </xf>
    <xf numFmtId="164" fontId="556" fillId="0" borderId="598" xfId="0" applyNumberFormat="1" applyFont="1" applyBorder="1" applyAlignment="1">
      <alignment horizontal="right"/>
    </xf>
    <xf numFmtId="164" fontId="637" fillId="0" borderId="686" xfId="0" applyNumberFormat="1" applyFont="1" applyBorder="1" applyAlignment="1">
      <alignment horizontal="right"/>
    </xf>
    <xf numFmtId="164" fontId="393" fillId="0" borderId="421" xfId="0" applyNumberFormat="1" applyFont="1" applyBorder="1" applyAlignment="1">
      <alignment horizontal="right"/>
    </xf>
    <xf numFmtId="164" fontId="478" fillId="0" borderId="513" xfId="0" applyNumberFormat="1" applyFont="1" applyBorder="1" applyAlignment="1">
      <alignment horizontal="right"/>
    </xf>
    <xf numFmtId="164" fontId="557" fillId="0" borderId="599" xfId="0" applyNumberFormat="1" applyFont="1" applyBorder="1" applyAlignment="1">
      <alignment horizontal="right"/>
    </xf>
    <xf numFmtId="164" fontId="638" fillId="0" borderId="687" xfId="0" applyNumberFormat="1" applyFont="1" applyBorder="1" applyAlignment="1">
      <alignment horizontal="right"/>
    </xf>
    <xf numFmtId="164" fontId="394" fillId="0" borderId="422" xfId="0" applyNumberFormat="1" applyFont="1" applyBorder="1" applyAlignment="1">
      <alignment horizontal="right"/>
    </xf>
    <xf numFmtId="164" fontId="479" fillId="0" borderId="514" xfId="0" applyNumberFormat="1" applyFont="1" applyBorder="1" applyAlignment="1">
      <alignment horizontal="right"/>
    </xf>
    <xf numFmtId="164" fontId="558" fillId="0" borderId="600" xfId="0" applyNumberFormat="1" applyFont="1" applyBorder="1" applyAlignment="1">
      <alignment horizontal="right"/>
    </xf>
    <xf numFmtId="164" fontId="639" fillId="0" borderId="688" xfId="0" applyNumberFormat="1" applyFont="1" applyBorder="1" applyAlignment="1">
      <alignment horizontal="right"/>
    </xf>
    <xf numFmtId="164" fontId="333" fillId="0" borderId="361" xfId="0" applyNumberFormat="1" applyFont="1" applyBorder="1" applyAlignment="1">
      <alignment horizontal="right"/>
    </xf>
    <xf numFmtId="164" fontId="418" fillId="0" borderId="453" xfId="0" applyNumberFormat="1" applyFont="1" applyBorder="1" applyAlignment="1">
      <alignment horizontal="right"/>
    </xf>
    <xf numFmtId="164" fontId="503" fillId="0" borderId="545" xfId="0" applyNumberFormat="1" applyFont="1" applyBorder="1" applyAlignment="1">
      <alignment horizontal="right"/>
    </xf>
    <xf numFmtId="164" fontId="578" fillId="0" borderId="627" xfId="0" applyNumberFormat="1" applyFont="1" applyBorder="1" applyAlignment="1">
      <alignment horizontal="right"/>
    </xf>
    <xf numFmtId="164" fontId="400" fillId="0" borderId="428" xfId="0" applyNumberFormat="1" applyFont="1" applyBorder="1" applyAlignment="1">
      <alignment horizontal="right"/>
    </xf>
    <xf numFmtId="164" fontId="485" fillId="0" borderId="520" xfId="0" applyNumberFormat="1" applyFont="1" applyBorder="1" applyAlignment="1">
      <alignment horizontal="right"/>
    </xf>
    <xf numFmtId="164" fontId="562" fillId="0" borderId="604" xfId="0" applyNumberFormat="1" applyFont="1" applyBorder="1" applyAlignment="1">
      <alignment horizontal="right"/>
    </xf>
    <xf numFmtId="164" fontId="645" fillId="0" borderId="694" xfId="0" applyNumberFormat="1" applyFont="1" applyBorder="1" applyAlignment="1">
      <alignment horizontal="right"/>
    </xf>
    <xf numFmtId="164" fontId="401" fillId="0" borderId="429" xfId="0" applyNumberFormat="1" applyFont="1" applyBorder="1" applyAlignment="1">
      <alignment horizontal="right"/>
    </xf>
    <xf numFmtId="164" fontId="486" fillId="0" borderId="521" xfId="0" applyNumberFormat="1" applyFont="1" applyBorder="1" applyAlignment="1">
      <alignment horizontal="right"/>
    </xf>
    <xf numFmtId="164" fontId="563" fillId="0" borderId="605" xfId="0" applyNumberFormat="1" applyFont="1" applyBorder="1" applyAlignment="1">
      <alignment horizontal="right"/>
    </xf>
    <xf numFmtId="164" fontId="646" fillId="0" borderId="695" xfId="0" applyNumberFormat="1" applyFont="1" applyBorder="1" applyAlignment="1">
      <alignment horizontal="right"/>
    </xf>
    <xf numFmtId="164" fontId="402" fillId="0" borderId="430" xfId="0" applyNumberFormat="1" applyFont="1" applyBorder="1" applyAlignment="1">
      <alignment horizontal="right"/>
    </xf>
    <xf numFmtId="164" fontId="487" fillId="0" borderId="522" xfId="0" applyNumberFormat="1" applyFont="1" applyBorder="1" applyAlignment="1">
      <alignment horizontal="right"/>
    </xf>
    <xf numFmtId="164" fontId="564" fillId="0" borderId="606" xfId="0" applyNumberFormat="1" applyFont="1" applyBorder="1" applyAlignment="1">
      <alignment horizontal="right"/>
    </xf>
    <xf numFmtId="164" fontId="647" fillId="0" borderId="696" xfId="0" applyNumberFormat="1" applyFont="1" applyBorder="1" applyAlignment="1">
      <alignment horizontal="right"/>
    </xf>
    <xf numFmtId="164" fontId="403" fillId="0" borderId="431" xfId="0" applyNumberFormat="1" applyFont="1" applyBorder="1" applyAlignment="1">
      <alignment horizontal="right"/>
    </xf>
    <xf numFmtId="164" fontId="488" fillId="0" borderId="523" xfId="0" applyNumberFormat="1" applyFont="1" applyBorder="1" applyAlignment="1">
      <alignment horizontal="right"/>
    </xf>
    <xf numFmtId="164" fontId="565" fillId="0" borderId="607" xfId="0" applyNumberFormat="1" applyFont="1" applyBorder="1" applyAlignment="1">
      <alignment horizontal="right"/>
    </xf>
    <xf numFmtId="164" fontId="648" fillId="0" borderId="697" xfId="0" applyNumberFormat="1" applyFont="1" applyBorder="1" applyAlignment="1">
      <alignment horizontal="right"/>
    </xf>
    <xf numFmtId="164" fontId="404" fillId="0" borderId="432" xfId="0" applyNumberFormat="1" applyFont="1" applyBorder="1" applyAlignment="1">
      <alignment horizontal="right"/>
    </xf>
    <xf numFmtId="164" fontId="489" fillId="0" borderId="524" xfId="0" applyNumberFormat="1" applyFont="1" applyBorder="1" applyAlignment="1">
      <alignment horizontal="right"/>
    </xf>
    <xf numFmtId="164" fontId="566" fillId="0" borderId="608" xfId="0" applyNumberFormat="1" applyFont="1" applyBorder="1" applyAlignment="1">
      <alignment horizontal="right"/>
    </xf>
    <xf numFmtId="164" fontId="649" fillId="0" borderId="698" xfId="0" applyNumberFormat="1" applyFont="1" applyBorder="1" applyAlignment="1">
      <alignment horizontal="right"/>
    </xf>
    <xf numFmtId="164" fontId="405" fillId="0" borderId="433" xfId="0" applyNumberFormat="1" applyFont="1" applyBorder="1" applyAlignment="1">
      <alignment horizontal="right"/>
    </xf>
    <xf numFmtId="164" fontId="490" fillId="0" borderId="525" xfId="0" applyNumberFormat="1" applyFont="1" applyBorder="1" applyAlignment="1">
      <alignment horizontal="right"/>
    </xf>
    <xf numFmtId="164" fontId="567" fillId="0" borderId="609" xfId="0" applyNumberFormat="1" applyFont="1" applyBorder="1" applyAlignment="1">
      <alignment horizontal="right"/>
    </xf>
    <xf numFmtId="164" fontId="650" fillId="0" borderId="699" xfId="0" applyNumberFormat="1" applyFont="1" applyBorder="1" applyAlignment="1">
      <alignment horizontal="right"/>
    </xf>
    <xf numFmtId="164" fontId="1" fillId="0" borderId="434" xfId="0" applyNumberFormat="1" applyFont="1" applyBorder="1" applyAlignment="1">
      <alignment horizontal="right"/>
    </xf>
    <xf numFmtId="164" fontId="1" fillId="0" borderId="526" xfId="0" applyNumberFormat="1" applyFont="1" applyBorder="1" applyAlignment="1">
      <alignment horizontal="right"/>
    </xf>
    <xf numFmtId="164" fontId="1" fillId="0" borderId="610" xfId="0" applyNumberFormat="1" applyFont="1" applyBorder="1" applyAlignment="1">
      <alignment horizontal="right"/>
    </xf>
    <xf numFmtId="164" fontId="1" fillId="0" borderId="700" xfId="0" applyNumberFormat="1" applyFont="1" applyBorder="1" applyAlignment="1">
      <alignment horizontal="right"/>
    </xf>
    <xf numFmtId="164" fontId="1" fillId="0" borderId="435" xfId="0" applyNumberFormat="1" applyFont="1" applyBorder="1" applyAlignment="1">
      <alignment horizontal="right"/>
    </xf>
    <xf numFmtId="164" fontId="1" fillId="0" borderId="527" xfId="0" applyNumberFormat="1" applyFont="1" applyBorder="1" applyAlignment="1">
      <alignment horizontal="right"/>
    </xf>
    <xf numFmtId="164" fontId="1" fillId="0" borderId="611" xfId="0" applyNumberFormat="1" applyFont="1" applyBorder="1" applyAlignment="1">
      <alignment horizontal="right"/>
    </xf>
    <xf numFmtId="164" fontId="1" fillId="0" borderId="701" xfId="0" applyNumberFormat="1" applyFont="1" applyBorder="1" applyAlignment="1">
      <alignment horizontal="right"/>
    </xf>
    <xf numFmtId="164" fontId="1" fillId="0" borderId="436" xfId="0" applyNumberFormat="1" applyFont="1" applyBorder="1" applyAlignment="1">
      <alignment horizontal="right"/>
    </xf>
    <xf numFmtId="164" fontId="1" fillId="0" borderId="528" xfId="0" applyNumberFormat="1" applyFont="1" applyBorder="1" applyAlignment="1">
      <alignment horizontal="right"/>
    </xf>
    <xf numFmtId="164" fontId="1" fillId="0" borderId="612" xfId="0" applyNumberFormat="1" applyFont="1" applyBorder="1" applyAlignment="1">
      <alignment horizontal="right"/>
    </xf>
    <xf numFmtId="164" fontId="1" fillId="0" borderId="702" xfId="0" applyNumberFormat="1" applyFont="1" applyBorder="1" applyAlignment="1">
      <alignment horizontal="right"/>
    </xf>
    <xf numFmtId="164" fontId="1" fillId="0" borderId="437" xfId="0" applyNumberFormat="1" applyFont="1" applyBorder="1" applyAlignment="1">
      <alignment horizontal="right"/>
    </xf>
    <xf numFmtId="164" fontId="1" fillId="0" borderId="529" xfId="0" applyNumberFormat="1" applyFont="1" applyBorder="1" applyAlignment="1">
      <alignment horizontal="right"/>
    </xf>
    <xf numFmtId="164" fontId="1" fillId="0" borderId="613" xfId="0" applyNumberFormat="1" applyFont="1" applyBorder="1" applyAlignment="1">
      <alignment horizontal="right"/>
    </xf>
    <xf numFmtId="164" fontId="1" fillId="0" borderId="703" xfId="0" applyNumberFormat="1" applyFont="1" applyBorder="1" applyAlignment="1">
      <alignment horizontal="right"/>
    </xf>
    <xf numFmtId="164" fontId="1" fillId="0" borderId="438" xfId="0" applyNumberFormat="1" applyFont="1" applyBorder="1" applyAlignment="1">
      <alignment horizontal="right"/>
    </xf>
    <xf numFmtId="164" fontId="1" fillId="0" borderId="530" xfId="0" applyNumberFormat="1" applyFont="1" applyBorder="1" applyAlignment="1">
      <alignment horizontal="right"/>
    </xf>
    <xf numFmtId="164" fontId="1" fillId="0" borderId="614" xfId="0" applyNumberFormat="1" applyFont="1" applyBorder="1" applyAlignment="1">
      <alignment horizontal="right"/>
    </xf>
    <xf numFmtId="164" fontId="1" fillId="0" borderId="704" xfId="0" applyNumberFormat="1" applyFont="1" applyBorder="1" applyAlignment="1">
      <alignment horizontal="right"/>
    </xf>
    <xf numFmtId="164" fontId="1" fillId="0" borderId="439" xfId="0" applyNumberFormat="1" applyFont="1" applyBorder="1" applyAlignment="1">
      <alignment horizontal="right"/>
    </xf>
    <xf numFmtId="164" fontId="1" fillId="0" borderId="531" xfId="0" applyNumberFormat="1" applyFont="1" applyBorder="1" applyAlignment="1">
      <alignment horizontal="right"/>
    </xf>
    <xf numFmtId="164" fontId="1" fillId="0" borderId="615" xfId="0" applyNumberFormat="1" applyFont="1" applyBorder="1" applyAlignment="1">
      <alignment horizontal="right"/>
    </xf>
    <xf numFmtId="164" fontId="1" fillId="0" borderId="705" xfId="0" applyNumberFormat="1" applyFont="1" applyBorder="1" applyAlignment="1">
      <alignment horizontal="right"/>
    </xf>
    <xf numFmtId="164" fontId="1" fillId="0" borderId="440" xfId="0" applyNumberFormat="1" applyFont="1" applyBorder="1" applyAlignment="1">
      <alignment horizontal="right"/>
    </xf>
    <xf numFmtId="164" fontId="1" fillId="0" borderId="532" xfId="0" applyNumberFormat="1" applyFont="1" applyBorder="1" applyAlignment="1">
      <alignment horizontal="right"/>
    </xf>
    <xf numFmtId="164" fontId="1" fillId="0" borderId="616" xfId="0" applyNumberFormat="1" applyFont="1" applyBorder="1" applyAlignment="1">
      <alignment horizontal="right"/>
    </xf>
    <xf numFmtId="164" fontId="1" fillId="0" borderId="706" xfId="0" applyNumberFormat="1" applyFont="1" applyBorder="1" applyAlignment="1">
      <alignment horizontal="right"/>
    </xf>
    <xf numFmtId="164" fontId="406" fillId="0" borderId="441" xfId="0" applyNumberFormat="1" applyFont="1" applyBorder="1" applyAlignment="1">
      <alignment horizontal="right"/>
    </xf>
    <xf numFmtId="164" fontId="491" fillId="0" borderId="533" xfId="0" applyNumberFormat="1" applyFont="1" applyBorder="1" applyAlignment="1">
      <alignment horizontal="right"/>
    </xf>
    <xf numFmtId="164" fontId="568" fillId="0" borderId="617" xfId="0" applyNumberFormat="1" applyFont="1" applyBorder="1" applyAlignment="1">
      <alignment horizontal="right"/>
    </xf>
    <xf numFmtId="164" fontId="651" fillId="0" borderId="707" xfId="0" applyNumberFormat="1" applyFont="1" applyBorder="1" applyAlignment="1">
      <alignment horizontal="right"/>
    </xf>
    <xf numFmtId="164" fontId="334" fillId="0" borderId="362" xfId="0" applyNumberFormat="1" applyFont="1" applyBorder="1" applyAlignment="1">
      <alignment horizontal="right"/>
    </xf>
    <xf numFmtId="164" fontId="419" fillId="0" borderId="454" xfId="0" applyNumberFormat="1" applyFont="1" applyBorder="1" applyAlignment="1">
      <alignment horizontal="right"/>
    </xf>
    <xf numFmtId="164" fontId="504" fillId="0" borderId="546" xfId="0" applyNumberFormat="1" applyFont="1" applyBorder="1" applyAlignment="1">
      <alignment horizontal="right"/>
    </xf>
    <xf numFmtId="164" fontId="579" fillId="0" borderId="628" xfId="0" applyNumberFormat="1" applyFont="1" applyBorder="1" applyAlignment="1">
      <alignment horizontal="right"/>
    </xf>
    <xf numFmtId="164" fontId="412" fillId="0" borderId="447" xfId="0" applyNumberFormat="1" applyFont="1" applyBorder="1" applyAlignment="1">
      <alignment horizontal="right"/>
    </xf>
    <xf numFmtId="164" fontId="497" fillId="0" borderId="539" xfId="0" applyNumberFormat="1" applyFont="1" applyBorder="1" applyAlignment="1">
      <alignment horizontal="right"/>
    </xf>
    <xf numFmtId="164" fontId="572" fillId="0" borderId="621" xfId="0" applyNumberFormat="1" applyFont="1" applyBorder="1" applyAlignment="1">
      <alignment horizontal="right"/>
    </xf>
    <xf numFmtId="164" fontId="657" fillId="0" borderId="713" xfId="0" applyNumberFormat="1" applyFont="1" applyBorder="1" applyAlignment="1">
      <alignment horizontal="right"/>
    </xf>
    <xf numFmtId="164" fontId="413" fillId="0" borderId="448" xfId="0" applyNumberFormat="1" applyFont="1" applyBorder="1" applyAlignment="1">
      <alignment horizontal="right"/>
    </xf>
    <xf numFmtId="164" fontId="498" fillId="0" borderId="540" xfId="0" applyNumberFormat="1" applyFont="1" applyBorder="1" applyAlignment="1">
      <alignment horizontal="right"/>
    </xf>
    <xf numFmtId="164" fontId="573" fillId="0" borderId="622" xfId="0" applyNumberFormat="1" applyFont="1" applyBorder="1" applyAlignment="1">
      <alignment horizontal="right"/>
    </xf>
    <xf numFmtId="164" fontId="658" fillId="0" borderId="714" xfId="0" applyNumberFormat="1" applyFont="1" applyBorder="1" applyAlignment="1">
      <alignment horizontal="right"/>
    </xf>
    <xf numFmtId="164" fontId="414" fillId="0" borderId="449" xfId="0" applyNumberFormat="1" applyFont="1" applyBorder="1" applyAlignment="1">
      <alignment horizontal="right"/>
    </xf>
    <xf numFmtId="164" fontId="499" fillId="0" borderId="541" xfId="0" applyNumberFormat="1" applyFont="1" applyBorder="1" applyAlignment="1">
      <alignment horizontal="right"/>
    </xf>
    <xf numFmtId="164" fontId="574" fillId="0" borderId="623" xfId="0" applyNumberFormat="1" applyFont="1" applyBorder="1" applyAlignment="1">
      <alignment horizontal="right"/>
    </xf>
    <xf numFmtId="164" fontId="659" fillId="0" borderId="715" xfId="0" applyNumberFormat="1" applyFont="1" applyBorder="1" applyAlignment="1">
      <alignment horizontal="right"/>
    </xf>
    <xf numFmtId="164" fontId="415" fillId="0" borderId="450" xfId="0" applyNumberFormat="1" applyFont="1" applyBorder="1" applyAlignment="1">
      <alignment horizontal="right"/>
    </xf>
    <xf numFmtId="164" fontId="500" fillId="0" borderId="542" xfId="0" applyNumberFormat="1" applyFont="1" applyBorder="1" applyAlignment="1">
      <alignment horizontal="right"/>
    </xf>
    <xf numFmtId="164" fontId="575" fillId="0" borderId="624" xfId="0" applyNumberFormat="1" applyFont="1" applyBorder="1" applyAlignment="1">
      <alignment horizontal="right"/>
    </xf>
    <xf numFmtId="164" fontId="660" fillId="0" borderId="716" xfId="0" applyNumberFormat="1" applyFont="1" applyBorder="1" applyAlignment="1">
      <alignment horizontal="right"/>
    </xf>
    <xf numFmtId="164" fontId="335" fillId="0" borderId="363" xfId="0" applyNumberFormat="1" applyFont="1" applyBorder="1" applyAlignment="1">
      <alignment horizontal="right"/>
    </xf>
    <xf numFmtId="164" fontId="420" fillId="0" borderId="455" xfId="0" applyNumberFormat="1" applyFont="1" applyBorder="1" applyAlignment="1">
      <alignment horizontal="right"/>
    </xf>
    <xf numFmtId="164" fontId="505" fillId="0" borderId="547" xfId="0" applyNumberFormat="1" applyFont="1" applyBorder="1" applyAlignment="1">
      <alignment horizontal="right"/>
    </xf>
    <xf numFmtId="164" fontId="580" fillId="0" borderId="629" xfId="0" applyNumberFormat="1" applyFont="1" applyBorder="1" applyAlignment="1">
      <alignment horizontal="right"/>
    </xf>
    <xf numFmtId="164" fontId="4120" fillId="0" borderId="4456" xfId="0" applyNumberFormat="1" applyFont="1" applyBorder="1" applyAlignment="1">
      <alignment horizontal="right"/>
    </xf>
    <xf numFmtId="164" fontId="4159" fillId="0" borderId="4495" xfId="0" applyNumberFormat="1" applyFont="1" applyBorder="1" applyAlignment="1">
      <alignment horizontal="right"/>
    </xf>
    <xf numFmtId="164" fontId="4196" fillId="0" borderId="4532" xfId="0" applyNumberFormat="1" applyFont="1" applyBorder="1" applyAlignment="1">
      <alignment horizontal="right"/>
    </xf>
    <xf numFmtId="164" fontId="4233" fillId="0" borderId="4569" xfId="0" applyNumberFormat="1" applyFont="1" applyBorder="1" applyAlignment="1">
      <alignment horizontal="right"/>
    </xf>
    <xf numFmtId="164" fontId="4121" fillId="0" borderId="4457" xfId="0" applyNumberFormat="1" applyFont="1" applyBorder="1" applyAlignment="1">
      <alignment horizontal="right"/>
    </xf>
    <xf numFmtId="164" fontId="4160" fillId="0" borderId="4496" xfId="0" applyNumberFormat="1" applyFont="1" applyBorder="1" applyAlignment="1">
      <alignment horizontal="right"/>
    </xf>
    <xf numFmtId="164" fontId="4197" fillId="0" borderId="4533" xfId="0" applyNumberFormat="1" applyFont="1" applyBorder="1" applyAlignment="1">
      <alignment horizontal="right"/>
    </xf>
    <xf numFmtId="164" fontId="4234" fillId="0" borderId="4570" xfId="0" applyNumberFormat="1" applyFont="1" applyBorder="1" applyAlignment="1">
      <alignment horizontal="right"/>
    </xf>
    <xf numFmtId="164" fontId="4122" fillId="0" borderId="4458" xfId="0" applyNumberFormat="1" applyFont="1" applyBorder="1" applyAlignment="1">
      <alignment horizontal="right"/>
    </xf>
    <xf numFmtId="164" fontId="4161" fillId="0" borderId="4497" xfId="0" applyNumberFormat="1" applyFont="1" applyBorder="1" applyAlignment="1">
      <alignment horizontal="right"/>
    </xf>
    <xf numFmtId="164" fontId="4198" fillId="0" borderId="4534" xfId="0" applyNumberFormat="1" applyFont="1" applyBorder="1" applyAlignment="1">
      <alignment horizontal="right"/>
    </xf>
    <xf numFmtId="164" fontId="4235" fillId="0" borderId="4571" xfId="0" applyNumberFormat="1" applyFont="1" applyBorder="1" applyAlignment="1">
      <alignment horizontal="right"/>
    </xf>
    <xf numFmtId="164" fontId="4123" fillId="0" borderId="4459" xfId="0" applyNumberFormat="1" applyFont="1" applyBorder="1" applyAlignment="1">
      <alignment horizontal="right"/>
    </xf>
    <xf numFmtId="164" fontId="4162" fillId="0" borderId="4498" xfId="0" applyNumberFormat="1" applyFont="1" applyBorder="1" applyAlignment="1">
      <alignment horizontal="right"/>
    </xf>
    <xf numFmtId="164" fontId="4199" fillId="0" borderId="4535" xfId="0" applyNumberFormat="1" applyFont="1" applyBorder="1" applyAlignment="1">
      <alignment horizontal="right"/>
    </xf>
    <xf numFmtId="164" fontId="4236" fillId="0" borderId="4572" xfId="0" applyNumberFormat="1" applyFont="1" applyBorder="1" applyAlignment="1">
      <alignment horizontal="right"/>
    </xf>
    <xf numFmtId="164" fontId="4124" fillId="0" borderId="4460" xfId="0" applyNumberFormat="1" applyFont="1" applyBorder="1" applyAlignment="1">
      <alignment horizontal="right"/>
    </xf>
    <xf numFmtId="164" fontId="4163" fillId="0" borderId="4499" xfId="0" applyNumberFormat="1" applyFont="1" applyBorder="1" applyAlignment="1">
      <alignment horizontal="right"/>
    </xf>
    <xf numFmtId="164" fontId="4200" fillId="0" borderId="4536" xfId="0" applyNumberFormat="1" applyFont="1" applyBorder="1" applyAlignment="1">
      <alignment horizontal="right"/>
    </xf>
    <xf numFmtId="164" fontId="4237" fillId="0" borderId="4573" xfId="0" applyNumberFormat="1" applyFont="1" applyBorder="1" applyAlignment="1">
      <alignment horizontal="right"/>
    </xf>
    <xf numFmtId="164" fontId="4125" fillId="0" borderId="4461" xfId="0" applyNumberFormat="1" applyFont="1" applyBorder="1" applyAlignment="1">
      <alignment horizontal="right"/>
    </xf>
    <xf numFmtId="164" fontId="4164" fillId="0" borderId="4500" xfId="0" applyNumberFormat="1" applyFont="1" applyBorder="1" applyAlignment="1">
      <alignment horizontal="right"/>
    </xf>
    <xf numFmtId="164" fontId="4201" fillId="0" borderId="4537" xfId="0" applyNumberFormat="1" applyFont="1" applyBorder="1" applyAlignment="1">
      <alignment horizontal="right"/>
    </xf>
    <xf numFmtId="164" fontId="4238" fillId="0" borderId="4574" xfId="0" applyNumberFormat="1" applyFont="1" applyBorder="1" applyAlignment="1">
      <alignment horizontal="right"/>
    </xf>
    <xf numFmtId="164" fontId="4126" fillId="0" borderId="4462" xfId="0" applyNumberFormat="1" applyFont="1" applyBorder="1" applyAlignment="1">
      <alignment horizontal="right"/>
    </xf>
    <xf numFmtId="164" fontId="4165" fillId="0" borderId="4501" xfId="0" applyNumberFormat="1" applyFont="1" applyBorder="1" applyAlignment="1">
      <alignment horizontal="right"/>
    </xf>
    <xf numFmtId="164" fontId="4202" fillId="0" borderId="4538" xfId="0" applyNumberFormat="1" applyFont="1" applyBorder="1" applyAlignment="1">
      <alignment horizontal="right"/>
    </xf>
    <xf numFmtId="164" fontId="4239" fillId="0" borderId="4575" xfId="0" applyNumberFormat="1" applyFont="1" applyBorder="1" applyAlignment="1">
      <alignment horizontal="right"/>
    </xf>
    <xf numFmtId="164" fontId="4127" fillId="0" borderId="4463" xfId="0" applyNumberFormat="1" applyFont="1" applyBorder="1" applyAlignment="1">
      <alignment horizontal="right"/>
    </xf>
    <xf numFmtId="164" fontId="4166" fillId="0" borderId="4502" xfId="0" applyNumberFormat="1" applyFont="1" applyBorder="1" applyAlignment="1">
      <alignment horizontal="right"/>
    </xf>
    <xf numFmtId="164" fontId="4203" fillId="0" borderId="4539" xfId="0" applyNumberFormat="1" applyFont="1" applyBorder="1" applyAlignment="1">
      <alignment horizontal="right"/>
    </xf>
    <xf numFmtId="164" fontId="4240" fillId="0" borderId="4576" xfId="0" applyNumberFormat="1" applyFont="1" applyBorder="1" applyAlignment="1">
      <alignment horizontal="right"/>
    </xf>
    <xf numFmtId="164" fontId="4128" fillId="0" borderId="4464" xfId="0" applyNumberFormat="1" applyFont="1" applyBorder="1" applyAlignment="1">
      <alignment horizontal="right"/>
    </xf>
    <xf numFmtId="164" fontId="4167" fillId="0" borderId="4503" xfId="0" applyNumberFormat="1" applyFont="1" applyBorder="1" applyAlignment="1">
      <alignment horizontal="right"/>
    </xf>
    <xf numFmtId="164" fontId="4204" fillId="0" borderId="4540" xfId="0" applyNumberFormat="1" applyFont="1" applyBorder="1" applyAlignment="1">
      <alignment horizontal="right"/>
    </xf>
    <xf numFmtId="164" fontId="4241" fillId="0" borderId="4577" xfId="0" applyNumberFormat="1" applyFont="1" applyBorder="1" applyAlignment="1">
      <alignment horizontal="right"/>
    </xf>
    <xf numFmtId="164" fontId="4129" fillId="0" borderId="4465" xfId="0" applyNumberFormat="1" applyFont="1" applyBorder="1" applyAlignment="1">
      <alignment horizontal="right"/>
    </xf>
    <xf numFmtId="164" fontId="4168" fillId="0" borderId="4504" xfId="0" applyNumberFormat="1" applyFont="1" applyBorder="1" applyAlignment="1">
      <alignment horizontal="right"/>
    </xf>
    <xf numFmtId="164" fontId="4205" fillId="0" borderId="4541" xfId="0" applyNumberFormat="1" applyFont="1" applyBorder="1" applyAlignment="1">
      <alignment horizontal="right"/>
    </xf>
    <xf numFmtId="164" fontId="4242" fillId="0" borderId="4578" xfId="0" applyNumberFormat="1" applyFont="1" applyBorder="1" applyAlignment="1">
      <alignment horizontal="right"/>
    </xf>
    <xf numFmtId="164" fontId="4130" fillId="0" borderId="4466" xfId="0" applyNumberFormat="1" applyFont="1" applyBorder="1" applyAlignment="1">
      <alignment horizontal="right"/>
    </xf>
    <xf numFmtId="164" fontId="4169" fillId="0" borderId="4505" xfId="0" applyNumberFormat="1" applyFont="1" applyBorder="1" applyAlignment="1">
      <alignment horizontal="right"/>
    </xf>
    <xf numFmtId="164" fontId="4206" fillId="0" borderId="4542" xfId="0" applyNumberFormat="1" applyFont="1" applyBorder="1" applyAlignment="1">
      <alignment horizontal="right"/>
    </xf>
    <xf numFmtId="164" fontId="4243" fillId="0" borderId="4579" xfId="0" applyNumberFormat="1" applyFont="1" applyBorder="1" applyAlignment="1">
      <alignment horizontal="right"/>
    </xf>
    <xf numFmtId="164" fontId="4131" fillId="0" borderId="4467" xfId="0" applyNumberFormat="1" applyFont="1" applyBorder="1" applyAlignment="1">
      <alignment horizontal="right"/>
    </xf>
    <xf numFmtId="164" fontId="4170" fillId="0" borderId="4506" xfId="0" applyNumberFormat="1" applyFont="1" applyBorder="1" applyAlignment="1">
      <alignment horizontal="right"/>
    </xf>
    <xf numFmtId="164" fontId="4207" fillId="0" borderId="4543" xfId="0" applyNumberFormat="1" applyFont="1" applyBorder="1" applyAlignment="1">
      <alignment horizontal="right"/>
    </xf>
    <xf numFmtId="164" fontId="4244" fillId="0" borderId="4580" xfId="0" applyNumberFormat="1" applyFont="1" applyBorder="1" applyAlignment="1">
      <alignment horizontal="right"/>
    </xf>
    <xf numFmtId="164" fontId="4132" fillId="0" borderId="4468" xfId="0" applyNumberFormat="1" applyFont="1" applyBorder="1" applyAlignment="1">
      <alignment horizontal="right"/>
    </xf>
    <xf numFmtId="164" fontId="4171" fillId="0" borderId="4507" xfId="0" applyNumberFormat="1" applyFont="1" applyBorder="1" applyAlignment="1">
      <alignment horizontal="right"/>
    </xf>
    <xf numFmtId="164" fontId="4208" fillId="0" borderId="4544" xfId="0" applyNumberFormat="1" applyFont="1" applyBorder="1" applyAlignment="1">
      <alignment horizontal="right"/>
    </xf>
    <xf numFmtId="164" fontId="4245" fillId="0" borderId="4581" xfId="0" applyNumberFormat="1" applyFont="1" applyBorder="1" applyAlignment="1">
      <alignment horizontal="right"/>
    </xf>
    <xf numFmtId="164" fontId="4113" fillId="0" borderId="4449" xfId="0" applyNumberFormat="1" applyFont="1" applyBorder="1" applyAlignment="1">
      <alignment horizontal="right"/>
    </xf>
    <xf numFmtId="164" fontId="4152" fillId="0" borderId="4488" xfId="0" applyNumberFormat="1" applyFont="1" applyBorder="1" applyAlignment="1">
      <alignment horizontal="right"/>
    </xf>
    <xf numFmtId="164" fontId="4191" fillId="0" borderId="4527" xfId="0" applyNumberFormat="1" applyFont="1" applyBorder="1" applyAlignment="1">
      <alignment horizontal="right"/>
    </xf>
    <xf numFmtId="164" fontId="4226" fillId="0" borderId="4562" xfId="0" applyNumberFormat="1" applyFont="1" applyBorder="1" applyAlignment="1">
      <alignment horizontal="right"/>
    </xf>
    <xf numFmtId="164" fontId="4138" fillId="0" borderId="4474" xfId="0" applyNumberFormat="1" applyFont="1" applyBorder="1" applyAlignment="1">
      <alignment horizontal="right"/>
    </xf>
    <xf numFmtId="164" fontId="4177" fillId="0" borderId="4513" xfId="0" applyNumberFormat="1" applyFont="1" applyBorder="1" applyAlignment="1">
      <alignment horizontal="right"/>
    </xf>
    <xf numFmtId="164" fontId="4212" fillId="0" borderId="4548" xfId="0" applyNumberFormat="1" applyFont="1" applyBorder="1" applyAlignment="1">
      <alignment horizontal="right"/>
    </xf>
    <xf numFmtId="164" fontId="4251" fillId="0" borderId="4587" xfId="0" applyNumberFormat="1" applyFont="1" applyBorder="1" applyAlignment="1">
      <alignment horizontal="right"/>
    </xf>
    <xf numFmtId="164" fontId="4139" fillId="0" borderId="4475" xfId="0" applyNumberFormat="1" applyFont="1" applyBorder="1" applyAlignment="1">
      <alignment horizontal="right"/>
    </xf>
    <xf numFmtId="164" fontId="4178" fillId="0" borderId="4514" xfId="0" applyNumberFormat="1" applyFont="1" applyBorder="1" applyAlignment="1">
      <alignment horizontal="right"/>
    </xf>
    <xf numFmtId="164" fontId="4213" fillId="0" borderId="4549" xfId="0" applyNumberFormat="1" applyFont="1" applyBorder="1" applyAlignment="1">
      <alignment horizontal="right"/>
    </xf>
    <xf numFmtId="164" fontId="4252" fillId="0" borderId="4588" xfId="0" applyNumberFormat="1" applyFont="1" applyBorder="1" applyAlignment="1">
      <alignment horizontal="right"/>
    </xf>
    <xf numFmtId="164" fontId="4140" fillId="0" borderId="4476" xfId="0" applyNumberFormat="1" applyFont="1" applyBorder="1" applyAlignment="1">
      <alignment horizontal="right"/>
    </xf>
    <xf numFmtId="164" fontId="4179" fillId="0" borderId="4515" xfId="0" applyNumberFormat="1" applyFont="1" applyBorder="1" applyAlignment="1">
      <alignment horizontal="right"/>
    </xf>
    <xf numFmtId="164" fontId="4214" fillId="0" borderId="4550" xfId="0" applyNumberFormat="1" applyFont="1" applyBorder="1" applyAlignment="1">
      <alignment horizontal="right"/>
    </xf>
    <xf numFmtId="164" fontId="4253" fillId="0" borderId="4589" xfId="0" applyNumberFormat="1" applyFont="1" applyBorder="1" applyAlignment="1">
      <alignment horizontal="right"/>
    </xf>
    <xf numFmtId="164" fontId="4141" fillId="0" borderId="4477" xfId="0" applyNumberFormat="1" applyFont="1" applyBorder="1" applyAlignment="1">
      <alignment horizontal="right"/>
    </xf>
    <xf numFmtId="164" fontId="4180" fillId="0" borderId="4516" xfId="0" applyNumberFormat="1" applyFont="1" applyBorder="1" applyAlignment="1">
      <alignment horizontal="right"/>
    </xf>
    <xf numFmtId="164" fontId="4215" fillId="0" borderId="4551" xfId="0" applyNumberFormat="1" applyFont="1" applyBorder="1" applyAlignment="1">
      <alignment horizontal="right"/>
    </xf>
    <xf numFmtId="164" fontId="4254" fillId="0" borderId="4590" xfId="0" applyNumberFormat="1" applyFont="1" applyBorder="1" applyAlignment="1">
      <alignment horizontal="right"/>
    </xf>
    <xf numFmtId="164" fontId="4142" fillId="0" borderId="4478" xfId="0" applyNumberFormat="1" applyFont="1" applyBorder="1" applyAlignment="1">
      <alignment horizontal="right"/>
    </xf>
    <xf numFmtId="164" fontId="4181" fillId="0" borderId="4517" xfId="0" applyNumberFormat="1" applyFont="1" applyBorder="1" applyAlignment="1">
      <alignment horizontal="right"/>
    </xf>
    <xf numFmtId="164" fontId="4216" fillId="0" borderId="4552" xfId="0" applyNumberFormat="1" applyFont="1" applyBorder="1" applyAlignment="1">
      <alignment horizontal="right"/>
    </xf>
    <xf numFmtId="164" fontId="4255" fillId="0" borderId="4591" xfId="0" applyNumberFormat="1" applyFont="1" applyBorder="1" applyAlignment="1">
      <alignment horizontal="right"/>
    </xf>
    <xf numFmtId="164" fontId="4143" fillId="0" borderId="4479" xfId="0" applyNumberFormat="1" applyFont="1" applyBorder="1" applyAlignment="1">
      <alignment horizontal="right"/>
    </xf>
    <xf numFmtId="164" fontId="4182" fillId="0" borderId="4518" xfId="0" applyNumberFormat="1" applyFont="1" applyBorder="1" applyAlignment="1">
      <alignment horizontal="right"/>
    </xf>
    <xf numFmtId="164" fontId="4217" fillId="0" borderId="4553" xfId="0" applyNumberFormat="1" applyFont="1" applyBorder="1" applyAlignment="1">
      <alignment horizontal="right"/>
    </xf>
    <xf numFmtId="164" fontId="4256" fillId="0" borderId="4592" xfId="0" applyNumberFormat="1" applyFont="1" applyBorder="1" applyAlignment="1">
      <alignment horizontal="right"/>
    </xf>
    <xf numFmtId="164" fontId="4144" fillId="0" borderId="4480" xfId="0" applyNumberFormat="1" applyFont="1" applyBorder="1" applyAlignment="1">
      <alignment horizontal="right"/>
    </xf>
    <xf numFmtId="164" fontId="4183" fillId="0" borderId="4519" xfId="0" applyNumberFormat="1" applyFont="1" applyBorder="1" applyAlignment="1">
      <alignment horizontal="right"/>
    </xf>
    <xf numFmtId="164" fontId="4218" fillId="0" borderId="4554" xfId="0" applyNumberFormat="1" applyFont="1" applyBorder="1" applyAlignment="1">
      <alignment horizontal="right"/>
    </xf>
    <xf numFmtId="164" fontId="4257" fillId="0" borderId="4593" xfId="0" applyNumberFormat="1" applyFont="1" applyBorder="1" applyAlignment="1">
      <alignment horizontal="right"/>
    </xf>
    <xf numFmtId="164" fontId="4145" fillId="0" borderId="4481" xfId="0" applyNumberFormat="1" applyFont="1" applyBorder="1" applyAlignment="1">
      <alignment horizontal="right"/>
    </xf>
    <xf numFmtId="164" fontId="4184" fillId="0" borderId="4520" xfId="0" applyNumberFormat="1" applyFont="1" applyBorder="1" applyAlignment="1">
      <alignment horizontal="right"/>
    </xf>
    <xf numFmtId="164" fontId="4219" fillId="0" borderId="4555" xfId="0" applyNumberFormat="1" applyFont="1" applyBorder="1" applyAlignment="1">
      <alignment horizontal="right"/>
    </xf>
    <xf numFmtId="164" fontId="4258" fillId="0" borderId="4594" xfId="0" applyNumberFormat="1" applyFont="1" applyBorder="1" applyAlignment="1">
      <alignment horizontal="right"/>
    </xf>
    <xf numFmtId="164" fontId="4146" fillId="0" borderId="4482" xfId="0" applyNumberFormat="1" applyFont="1" applyBorder="1" applyAlignment="1">
      <alignment horizontal="right"/>
    </xf>
    <xf numFmtId="164" fontId="4185" fillId="0" borderId="4521" xfId="0" applyNumberFormat="1" applyFont="1" applyBorder="1" applyAlignment="1">
      <alignment horizontal="right"/>
    </xf>
    <xf numFmtId="164" fontId="4220" fillId="0" borderId="4556" xfId="0" applyNumberFormat="1" applyFont="1" applyBorder="1" applyAlignment="1">
      <alignment horizontal="right"/>
    </xf>
    <xf numFmtId="164" fontId="4259" fillId="0" borderId="4595" xfId="0" applyNumberFormat="1" applyFont="1" applyBorder="1" applyAlignment="1">
      <alignment horizontal="right"/>
    </xf>
    <xf numFmtId="164" fontId="4147" fillId="0" borderId="4483" xfId="0" applyNumberFormat="1" applyFont="1" applyBorder="1" applyAlignment="1">
      <alignment horizontal="right"/>
    </xf>
    <xf numFmtId="164" fontId="4186" fillId="0" borderId="4522" xfId="0" applyNumberFormat="1" applyFont="1" applyBorder="1" applyAlignment="1">
      <alignment horizontal="right"/>
    </xf>
    <xf numFmtId="164" fontId="4221" fillId="0" borderId="4557" xfId="0" applyNumberFormat="1" applyFont="1" applyBorder="1" applyAlignment="1">
      <alignment horizontal="right"/>
    </xf>
    <xf numFmtId="164" fontId="4260" fillId="0" borderId="4596" xfId="0" applyNumberFormat="1" applyFont="1" applyBorder="1" applyAlignment="1">
      <alignment horizontal="right"/>
    </xf>
    <xf numFmtId="164" fontId="4148" fillId="0" borderId="4484" xfId="0" applyNumberFormat="1" applyFont="1" applyBorder="1" applyAlignment="1">
      <alignment horizontal="right"/>
    </xf>
    <xf numFmtId="164" fontId="4187" fillId="0" borderId="4523" xfId="0" applyNumberFormat="1" applyFont="1" applyBorder="1" applyAlignment="1">
      <alignment horizontal="right"/>
    </xf>
    <xf numFmtId="164" fontId="4222" fillId="0" borderId="4558" xfId="0" applyNumberFormat="1" applyFont="1" applyBorder="1" applyAlignment="1">
      <alignment horizontal="right"/>
    </xf>
    <xf numFmtId="164" fontId="4261" fillId="0" borderId="4597" xfId="0" applyNumberFormat="1" applyFont="1" applyBorder="1" applyAlignment="1">
      <alignment horizontal="right"/>
    </xf>
    <xf numFmtId="164" fontId="4149" fillId="0" borderId="4485" xfId="0" applyNumberFormat="1" applyFont="1" applyBorder="1" applyAlignment="1">
      <alignment horizontal="right"/>
    </xf>
    <xf numFmtId="164" fontId="4188" fillId="0" borderId="4524" xfId="0" applyNumberFormat="1" applyFont="1" applyBorder="1" applyAlignment="1">
      <alignment horizontal="right"/>
    </xf>
    <xf numFmtId="164" fontId="4223" fillId="0" borderId="4559" xfId="0" applyNumberFormat="1" applyFont="1" applyBorder="1" applyAlignment="1">
      <alignment horizontal="right"/>
    </xf>
    <xf numFmtId="164" fontId="4262" fillId="0" borderId="4598" xfId="0" applyNumberFormat="1" applyFont="1" applyBorder="1" applyAlignment="1">
      <alignment horizontal="right"/>
    </xf>
    <xf numFmtId="164" fontId="4150" fillId="0" borderId="4486" xfId="0" applyNumberFormat="1" applyFont="1" applyBorder="1" applyAlignment="1">
      <alignment horizontal="right"/>
    </xf>
    <xf numFmtId="164" fontId="4189" fillId="0" borderId="4525" xfId="0" applyNumberFormat="1" applyFont="1" applyBorder="1" applyAlignment="1">
      <alignment horizontal="right"/>
    </xf>
    <xf numFmtId="164" fontId="4224" fillId="0" borderId="4560" xfId="0" applyNumberFormat="1" applyFont="1" applyBorder="1" applyAlignment="1">
      <alignment horizontal="right"/>
    </xf>
    <xf numFmtId="164" fontId="4263" fillId="0" borderId="4599" xfId="0" applyNumberFormat="1" applyFont="1" applyBorder="1" applyAlignment="1">
      <alignment horizontal="right"/>
    </xf>
    <xf numFmtId="164" fontId="4151" fillId="0" borderId="4487" xfId="0" applyNumberFormat="1" applyFont="1" applyBorder="1" applyAlignment="1">
      <alignment horizontal="right"/>
    </xf>
    <xf numFmtId="164" fontId="4190" fillId="0" borderId="4526" xfId="0" applyNumberFormat="1" applyFont="1" applyBorder="1" applyAlignment="1">
      <alignment horizontal="right"/>
    </xf>
    <xf numFmtId="164" fontId="4225" fillId="0" borderId="4561" xfId="0" applyNumberFormat="1" applyFont="1" applyBorder="1" applyAlignment="1">
      <alignment horizontal="right"/>
    </xf>
    <xf numFmtId="164" fontId="4264" fillId="0" borderId="4600" xfId="0" applyNumberFormat="1" applyFont="1" applyBorder="1" applyAlignment="1">
      <alignment horizontal="right"/>
    </xf>
    <xf numFmtId="164" fontId="4114" fillId="0" borderId="4450" xfId="0" applyNumberFormat="1" applyFont="1" applyBorder="1" applyAlignment="1">
      <alignment horizontal="right"/>
    </xf>
    <xf numFmtId="164" fontId="4153" fillId="0" borderId="4489" xfId="0" applyNumberFormat="1" applyFont="1" applyBorder="1" applyAlignment="1">
      <alignment horizontal="right"/>
    </xf>
    <xf numFmtId="164" fontId="4192" fillId="0" borderId="4528" xfId="0" applyNumberFormat="1" applyFont="1" applyBorder="1" applyAlignment="1">
      <alignment horizontal="right"/>
    </xf>
    <xf numFmtId="164" fontId="4227" fillId="0" borderId="4563" xfId="0" applyNumberFormat="1" applyFont="1" applyBorder="1" applyAlignment="1">
      <alignment horizontal="right"/>
    </xf>
    <xf numFmtId="164" fontId="6" fillId="0" borderId="6" xfId="0" applyNumberFormat="1" applyFont="1" applyBorder="1"/>
    <xf numFmtId="164" fontId="7" fillId="0" borderId="7" xfId="0" applyNumberFormat="1" applyFont="1" applyBorder="1"/>
    <xf numFmtId="164" fontId="8" fillId="0" borderId="8" xfId="0" applyNumberFormat="1" applyFont="1" applyBorder="1"/>
    <xf numFmtId="164" fontId="9" fillId="0" borderId="9" xfId="0" applyNumberFormat="1" applyFont="1" applyBorder="1"/>
    <xf numFmtId="164" fontId="10" fillId="0" borderId="10" xfId="0" applyNumberFormat="1" applyFont="1" applyBorder="1"/>
    <xf numFmtId="164" fontId="91" fillId="0" borderId="98" xfId="0" applyNumberFormat="1" applyFont="1" applyBorder="1"/>
    <xf numFmtId="164" fontId="92" fillId="0" borderId="99" xfId="0" applyNumberFormat="1" applyFont="1" applyBorder="1"/>
    <xf numFmtId="164" fontId="93" fillId="0" borderId="100" xfId="0" applyNumberFormat="1" applyFont="1" applyBorder="1"/>
    <xf numFmtId="164" fontId="94" fillId="0" borderId="101" xfId="0" applyNumberFormat="1" applyFont="1" applyBorder="1"/>
    <xf numFmtId="164" fontId="95" fillId="0" borderId="102" xfId="0" applyNumberFormat="1" applyFont="1" applyBorder="1"/>
    <xf numFmtId="164" fontId="176" fillId="0" borderId="190" xfId="0" applyNumberFormat="1" applyFont="1" applyBorder="1"/>
    <xf numFmtId="164" fontId="177" fillId="0" borderId="191" xfId="0" applyNumberFormat="1" applyFont="1" applyBorder="1"/>
    <xf numFmtId="164" fontId="178" fillId="0" borderId="192" xfId="0" applyNumberFormat="1" applyFont="1" applyBorder="1"/>
    <xf numFmtId="164" fontId="251" fillId="0" borderId="272" xfId="0" applyNumberFormat="1" applyFont="1" applyBorder="1"/>
    <xf numFmtId="164" fontId="252" fillId="0" borderId="273" xfId="0" applyNumberFormat="1" applyFont="1" applyBorder="1"/>
    <xf numFmtId="164" fontId="253" fillId="0" borderId="274" xfId="0" applyNumberFormat="1" applyFont="1" applyBorder="1"/>
    <xf numFmtId="164" fontId="254" fillId="0" borderId="275" xfId="0" applyNumberFormat="1" applyFont="1" applyBorder="1"/>
    <xf numFmtId="164" fontId="255" fillId="0" borderId="276" xfId="0" applyNumberFormat="1" applyFont="1" applyBorder="1"/>
    <xf numFmtId="164" fontId="26" fillId="0" borderId="26" xfId="0" applyNumberFormat="1" applyFont="1" applyBorder="1"/>
    <xf numFmtId="164" fontId="27" fillId="0" borderId="27" xfId="0" applyNumberFormat="1" applyFont="1" applyBorder="1"/>
    <xf numFmtId="164" fontId="28" fillId="0" borderId="28" xfId="0" applyNumberFormat="1" applyFont="1" applyBorder="1"/>
    <xf numFmtId="164" fontId="29" fillId="0" borderId="29" xfId="0" applyNumberFormat="1" applyFont="1" applyBorder="1"/>
    <xf numFmtId="164" fontId="30" fillId="0" borderId="30" xfId="0" applyNumberFormat="1" applyFont="1" applyBorder="1"/>
    <xf numFmtId="164" fontId="111" fillId="0" borderId="118" xfId="0" applyNumberFormat="1" applyFont="1" applyBorder="1"/>
    <xf numFmtId="164" fontId="112" fillId="0" borderId="119" xfId="0" applyNumberFormat="1" applyFont="1" applyBorder="1"/>
    <xf numFmtId="164" fontId="113" fillId="0" borderId="120" xfId="0" applyNumberFormat="1" applyFont="1" applyBorder="1"/>
    <xf numFmtId="164" fontId="114" fillId="0" borderId="121" xfId="0" applyNumberFormat="1" applyFont="1" applyBorder="1"/>
    <xf numFmtId="164" fontId="115" fillId="0" borderId="122" xfId="0" applyNumberFormat="1" applyFont="1" applyBorder="1"/>
    <xf numFmtId="164" fontId="194" fillId="0" borderId="208" xfId="0" applyNumberFormat="1" applyFont="1" applyBorder="1"/>
    <xf numFmtId="164" fontId="195" fillId="0" borderId="209" xfId="0" applyNumberFormat="1" applyFont="1" applyBorder="1"/>
    <xf numFmtId="164" fontId="196" fillId="0" borderId="210" xfId="0" applyNumberFormat="1" applyFont="1" applyBorder="1"/>
    <xf numFmtId="164" fontId="271" fillId="0" borderId="292" xfId="0" applyNumberFormat="1" applyFont="1" applyBorder="1"/>
    <xf numFmtId="164" fontId="272" fillId="0" borderId="293" xfId="0" applyNumberFormat="1" applyFont="1" applyBorder="1"/>
    <xf numFmtId="164" fontId="273" fillId="0" borderId="294" xfId="0" applyNumberFormat="1" applyFont="1" applyBorder="1"/>
    <xf numFmtId="164" fontId="274" fillId="0" borderId="295" xfId="0" applyNumberFormat="1" applyFont="1" applyBorder="1"/>
    <xf numFmtId="164" fontId="275" fillId="0" borderId="296" xfId="0" applyNumberFormat="1" applyFont="1" applyBorder="1"/>
    <xf numFmtId="164" fontId="46" fillId="0" borderId="46" xfId="0" applyNumberFormat="1" applyFont="1" applyBorder="1"/>
    <xf numFmtId="164" fontId="47" fillId="0" borderId="47" xfId="0" applyNumberFormat="1" applyFont="1" applyBorder="1"/>
    <xf numFmtId="164" fontId="48" fillId="0" borderId="48" xfId="0" applyNumberFormat="1" applyFont="1" applyBorder="1"/>
    <xf numFmtId="164" fontId="49" fillId="0" borderId="49" xfId="0" applyNumberFormat="1" applyFont="1" applyBorder="1"/>
    <xf numFmtId="164" fontId="50" fillId="0" borderId="50" xfId="0" applyNumberFormat="1" applyFont="1" applyBorder="1"/>
    <xf numFmtId="164" fontId="131" fillId="0" borderId="138" xfId="0" applyNumberFormat="1" applyFont="1" applyBorder="1"/>
    <xf numFmtId="164" fontId="132" fillId="0" borderId="139" xfId="0" applyNumberFormat="1" applyFont="1" applyBorder="1"/>
    <xf numFmtId="164" fontId="133" fillId="0" borderId="140" xfId="0" applyNumberFormat="1" applyFont="1" applyBorder="1"/>
    <xf numFmtId="164" fontId="134" fillId="0" borderId="141" xfId="0" applyNumberFormat="1" applyFont="1" applyBorder="1"/>
    <xf numFmtId="164" fontId="135" fillId="0" borderId="142" xfId="0" applyNumberFormat="1" applyFont="1" applyBorder="1"/>
    <xf numFmtId="164" fontId="212" fillId="0" borderId="226" xfId="0" applyNumberFormat="1" applyFont="1" applyBorder="1"/>
    <xf numFmtId="164" fontId="213" fillId="0" borderId="227" xfId="0" applyNumberFormat="1" applyFont="1" applyBorder="1"/>
    <xf numFmtId="164" fontId="214" fillId="0" borderId="228" xfId="0" applyNumberFormat="1" applyFont="1" applyBorder="1"/>
    <xf numFmtId="164" fontId="291" fillId="0" borderId="312" xfId="0" applyNumberFormat="1" applyFont="1" applyBorder="1"/>
    <xf numFmtId="164" fontId="292" fillId="0" borderId="313" xfId="0" applyNumberFormat="1" applyFont="1" applyBorder="1"/>
    <xf numFmtId="164" fontId="293" fillId="0" borderId="314" xfId="0" applyNumberFormat="1" applyFont="1" applyBorder="1"/>
    <xf numFmtId="164" fontId="294" fillId="0" borderId="315" xfId="0" applyNumberFormat="1" applyFont="1" applyBorder="1"/>
    <xf numFmtId="164" fontId="295" fillId="0" borderId="316" xfId="0" applyNumberFormat="1" applyFont="1" applyBorder="1"/>
    <xf numFmtId="164" fontId="65" fillId="0" borderId="65" xfId="0" applyNumberFormat="1" applyFont="1" applyBorder="1"/>
    <xf numFmtId="164" fontId="66" fillId="0" borderId="66" xfId="0" applyNumberFormat="1" applyFont="1" applyBorder="1"/>
    <xf numFmtId="164" fontId="67" fillId="0" borderId="67" xfId="0" applyNumberFormat="1" applyFont="1" applyBorder="1"/>
    <xf numFmtId="164" fontId="68" fillId="0" borderId="68" xfId="0" applyNumberFormat="1" applyFont="1" applyBorder="1"/>
    <xf numFmtId="164" fontId="69" fillId="0" borderId="69" xfId="0" applyNumberFormat="1" applyFont="1" applyBorder="1"/>
    <xf numFmtId="164" fontId="150" fillId="0" borderId="157" xfId="0" applyNumberFormat="1" applyFont="1" applyBorder="1"/>
    <xf numFmtId="164" fontId="151" fillId="0" borderId="158" xfId="0" applyNumberFormat="1" applyFont="1" applyBorder="1"/>
    <xf numFmtId="164" fontId="152" fillId="0" borderId="159" xfId="0" applyNumberFormat="1" applyFont="1" applyBorder="1"/>
    <xf numFmtId="164" fontId="153" fillId="0" borderId="160" xfId="0" applyNumberFormat="1" applyFont="1" applyBorder="1"/>
    <xf numFmtId="164" fontId="154" fillId="0" borderId="161" xfId="0" applyNumberFormat="1" applyFont="1" applyBorder="1"/>
    <xf numFmtId="164" fontId="229" fillId="0" borderId="243" xfId="0" applyNumberFormat="1" applyFont="1" applyBorder="1"/>
    <xf numFmtId="164" fontId="230" fillId="0" borderId="244" xfId="0" applyNumberFormat="1" applyFont="1" applyBorder="1"/>
    <xf numFmtId="164" fontId="231" fillId="0" borderId="245" xfId="0" applyNumberFormat="1" applyFont="1" applyBorder="1"/>
    <xf numFmtId="164" fontId="310" fillId="0" borderId="331" xfId="0" applyNumberFormat="1" applyFont="1" applyBorder="1"/>
    <xf numFmtId="164" fontId="311" fillId="0" borderId="332" xfId="0" applyNumberFormat="1" applyFont="1" applyBorder="1"/>
    <xf numFmtId="164" fontId="312" fillId="0" borderId="333" xfId="0" applyNumberFormat="1" applyFont="1" applyBorder="1"/>
    <xf numFmtId="164" fontId="313" fillId="0" borderId="334" xfId="0" applyNumberFormat="1" applyFont="1" applyBorder="1"/>
    <xf numFmtId="164" fontId="314" fillId="0" borderId="335" xfId="0" applyNumberFormat="1" applyFont="1" applyBorder="1"/>
    <xf numFmtId="164" fontId="77" fillId="0" borderId="84" xfId="0" applyNumberFormat="1" applyFont="1" applyBorder="1"/>
    <xf numFmtId="164" fontId="78" fillId="0" borderId="85" xfId="0" applyNumberFormat="1" applyFont="1" applyBorder="1"/>
    <xf numFmtId="164" fontId="79" fillId="0" borderId="86" xfId="0" applyNumberFormat="1" applyFont="1" applyBorder="1"/>
    <xf numFmtId="164" fontId="80" fillId="0" borderId="87" xfId="0" applyNumberFormat="1" applyFont="1" applyBorder="1"/>
    <xf numFmtId="164" fontId="81" fillId="0" borderId="88" xfId="0" applyNumberFormat="1" applyFont="1" applyBorder="1"/>
    <xf numFmtId="164" fontId="162" fillId="0" borderId="176" xfId="0" applyNumberFormat="1" applyFont="1" applyBorder="1"/>
    <xf numFmtId="164" fontId="163" fillId="0" borderId="177" xfId="0" applyNumberFormat="1" applyFont="1" applyBorder="1"/>
    <xf numFmtId="164" fontId="164" fillId="0" borderId="178" xfId="0" applyNumberFormat="1" applyFont="1" applyBorder="1"/>
    <xf numFmtId="164" fontId="165" fillId="0" borderId="179" xfId="0" applyNumberFormat="1" applyFont="1" applyBorder="1"/>
    <xf numFmtId="164" fontId="166" fillId="0" borderId="180" xfId="0" applyNumberFormat="1" applyFont="1" applyBorder="1"/>
    <xf numFmtId="164" fontId="239" fillId="0" borderId="260" xfId="0" applyNumberFormat="1" applyFont="1" applyBorder="1"/>
    <xf numFmtId="164" fontId="240" fillId="0" borderId="261" xfId="0" applyNumberFormat="1" applyFont="1" applyBorder="1"/>
    <xf numFmtId="164" fontId="241" fillId="0" borderId="262" xfId="0" applyNumberFormat="1" applyFont="1" applyBorder="1"/>
    <xf numFmtId="164" fontId="322" fillId="0" borderId="350" xfId="0" applyNumberFormat="1" applyFont="1" applyBorder="1"/>
    <xf numFmtId="164" fontId="323" fillId="0" borderId="351" xfId="0" applyNumberFormat="1" applyFont="1" applyBorder="1"/>
    <xf numFmtId="164" fontId="324" fillId="0" borderId="352" xfId="0" applyNumberFormat="1" applyFont="1" applyBorder="1"/>
    <xf numFmtId="164" fontId="325" fillId="0" borderId="353" xfId="0" applyNumberFormat="1" applyFont="1" applyBorder="1"/>
    <xf numFmtId="164" fontId="326" fillId="0" borderId="354" xfId="0" applyNumberFormat="1" applyFont="1" applyBorder="1"/>
    <xf numFmtId="164" fontId="3963" fillId="0" borderId="4299" xfId="0" applyNumberFormat="1" applyFont="1" applyBorder="1"/>
    <xf numFmtId="164" fontId="3964" fillId="0" borderId="4300" xfId="0" applyNumberFormat="1" applyFont="1" applyBorder="1"/>
    <xf numFmtId="164" fontId="3965" fillId="0" borderId="4301" xfId="0" applyNumberFormat="1" applyFont="1" applyBorder="1"/>
    <xf numFmtId="164" fontId="3966" fillId="0" borderId="4302" xfId="0" applyNumberFormat="1" applyFont="1" applyBorder="1"/>
    <xf numFmtId="164" fontId="3967" fillId="0" borderId="4303" xfId="0" applyNumberFormat="1" applyFont="1" applyBorder="1"/>
    <xf numFmtId="164" fontId="4002" fillId="0" borderId="4338" xfId="0" applyNumberFormat="1" applyFont="1" applyBorder="1"/>
    <xf numFmtId="164" fontId="4003" fillId="0" borderId="4339" xfId="0" applyNumberFormat="1" applyFont="1" applyBorder="1"/>
    <xf numFmtId="164" fontId="4004" fillId="0" borderId="4340" xfId="0" applyNumberFormat="1" applyFont="1" applyBorder="1"/>
    <xf numFmtId="164" fontId="4005" fillId="0" borderId="4341" xfId="0" applyNumberFormat="1" applyFont="1" applyBorder="1"/>
    <xf numFmtId="164" fontId="4006" fillId="0" borderId="4342" xfId="0" applyNumberFormat="1" applyFont="1" applyBorder="1"/>
    <xf numFmtId="164" fontId="4041" fillId="0" borderId="4377" xfId="0" applyNumberFormat="1" applyFont="1" applyBorder="1"/>
    <xf numFmtId="164" fontId="4042" fillId="0" borderId="4378" xfId="0" applyNumberFormat="1" applyFont="1" applyBorder="1"/>
    <xf numFmtId="164" fontId="4043" fillId="0" borderId="4379" xfId="0" applyNumberFormat="1" applyFont="1" applyBorder="1"/>
    <xf numFmtId="164" fontId="4076" fillId="0" borderId="4412" xfId="0" applyNumberFormat="1" applyFont="1" applyBorder="1"/>
    <xf numFmtId="164" fontId="4077" fillId="0" borderId="4413" xfId="0" applyNumberFormat="1" applyFont="1" applyBorder="1"/>
    <xf numFmtId="164" fontId="4078" fillId="0" borderId="4414" xfId="0" applyNumberFormat="1" applyFont="1" applyBorder="1"/>
    <xf numFmtId="164" fontId="4079" fillId="0" borderId="4415" xfId="0" applyNumberFormat="1" applyFont="1" applyBorder="1"/>
    <xf numFmtId="164" fontId="4080" fillId="0" borderId="4416" xfId="0" applyNumberFormat="1" applyFont="1" applyBorder="1"/>
    <xf numFmtId="164" fontId="3981" fillId="0" borderId="4317" xfId="0" applyNumberFormat="1" applyFont="1" applyBorder="1"/>
    <xf numFmtId="164" fontId="3982" fillId="0" borderId="4318" xfId="0" applyNumberFormat="1" applyFont="1" applyBorder="1"/>
    <xf numFmtId="164" fontId="3983" fillId="0" borderId="4319" xfId="0" applyNumberFormat="1" applyFont="1" applyBorder="1"/>
    <xf numFmtId="164" fontId="3984" fillId="0" borderId="4320" xfId="0" applyNumberFormat="1" applyFont="1" applyBorder="1"/>
    <xf numFmtId="164" fontId="3985" fillId="0" borderId="4321" xfId="0" applyNumberFormat="1" applyFont="1" applyBorder="1"/>
    <xf numFmtId="164" fontId="4020" fillId="0" borderId="4356" xfId="0" applyNumberFormat="1" applyFont="1" applyBorder="1"/>
    <xf numFmtId="164" fontId="4021" fillId="0" borderId="4357" xfId="0" applyNumberFormat="1" applyFont="1" applyBorder="1"/>
    <xf numFmtId="164" fontId="4022" fillId="0" borderId="4358" xfId="0" applyNumberFormat="1" applyFont="1" applyBorder="1"/>
    <xf numFmtId="164" fontId="4023" fillId="0" borderId="4359" xfId="0" applyNumberFormat="1" applyFont="1" applyBorder="1"/>
    <xf numFmtId="164" fontId="4024" fillId="0" borderId="4360" xfId="0" applyNumberFormat="1" applyFont="1" applyBorder="1"/>
    <xf numFmtId="164" fontId="4057" fillId="0" borderId="4393" xfId="0" applyNumberFormat="1" applyFont="1" applyBorder="1"/>
    <xf numFmtId="164" fontId="4058" fillId="0" borderId="4394" xfId="0" applyNumberFormat="1" applyFont="1" applyBorder="1"/>
    <xf numFmtId="164" fontId="4059" fillId="0" borderId="4395" xfId="0" applyNumberFormat="1" applyFont="1" applyBorder="1"/>
    <xf numFmtId="164" fontId="4094" fillId="0" borderId="4430" xfId="0" applyNumberFormat="1" applyFont="1" applyBorder="1"/>
    <xf numFmtId="164" fontId="4095" fillId="0" borderId="4431" xfId="0" applyNumberFormat="1" applyFont="1" applyBorder="1"/>
    <xf numFmtId="164" fontId="4096" fillId="0" borderId="4432" xfId="0" applyNumberFormat="1" applyFont="1" applyBorder="1"/>
    <xf numFmtId="164" fontId="4097" fillId="0" borderId="4433" xfId="0" applyNumberFormat="1" applyFont="1" applyBorder="1"/>
    <xf numFmtId="164" fontId="4098" fillId="0" borderId="4434" xfId="0" applyNumberFormat="1" applyFont="1" applyBorder="1"/>
    <xf numFmtId="164" fontId="3636" fillId="0" borderId="3944" xfId="0" applyNumberFormat="1" applyFont="1" applyBorder="1"/>
    <xf numFmtId="164" fontId="3637" fillId="0" borderId="3945" xfId="0" applyNumberFormat="1" applyFont="1" applyBorder="1"/>
    <xf numFmtId="164" fontId="3638" fillId="0" borderId="3946" xfId="0" applyNumberFormat="1" applyFont="1" applyBorder="1"/>
    <xf numFmtId="164" fontId="3639" fillId="0" borderId="3947" xfId="0" applyNumberFormat="1" applyFont="1" applyBorder="1"/>
    <xf numFmtId="164" fontId="3640" fillId="0" borderId="3948" xfId="0" applyNumberFormat="1" applyFont="1" applyBorder="1"/>
    <xf numFmtId="164" fontId="3721" fillId="0" borderId="4036" xfId="0" applyNumberFormat="1" applyFont="1" applyBorder="1"/>
    <xf numFmtId="164" fontId="3722" fillId="0" borderId="4037" xfId="0" applyNumberFormat="1" applyFont="1" applyBorder="1"/>
    <xf numFmtId="164" fontId="3723" fillId="0" borderId="4038" xfId="0" applyNumberFormat="1" applyFont="1" applyBorder="1"/>
    <xf numFmtId="164" fontId="3724" fillId="0" borderId="4039" xfId="0" applyNumberFormat="1" applyFont="1" applyBorder="1"/>
    <xf numFmtId="164" fontId="3725" fillId="0" borderId="4040" xfId="0" applyNumberFormat="1" applyFont="1" applyBorder="1"/>
    <xf numFmtId="164" fontId="3806" fillId="0" borderId="4128" xfId="0" applyNumberFormat="1" applyFont="1" applyBorder="1"/>
    <xf numFmtId="164" fontId="3807" fillId="0" borderId="4129" xfId="0" applyNumberFormat="1" applyFont="1" applyBorder="1"/>
    <xf numFmtId="164" fontId="3808" fillId="0" borderId="4130" xfId="0" applyNumberFormat="1" applyFont="1" applyBorder="1"/>
    <xf numFmtId="164" fontId="3881" fillId="0" borderId="4210" xfId="0" applyNumberFormat="1" applyFont="1" applyBorder="1"/>
    <xf numFmtId="164" fontId="3882" fillId="0" borderId="4211" xfId="0" applyNumberFormat="1" applyFont="1" applyBorder="1"/>
    <xf numFmtId="164" fontId="3883" fillId="0" borderId="4212" xfId="0" applyNumberFormat="1" applyFont="1" applyBorder="1"/>
    <xf numFmtId="164" fontId="3884" fillId="0" borderId="4213" xfId="0" applyNumberFormat="1" applyFont="1" applyBorder="1"/>
    <xf numFmtId="164" fontId="3885" fillId="0" borderId="4214" xfId="0" applyNumberFormat="1" applyFont="1" applyBorder="1"/>
    <xf numFmtId="164" fontId="3656" fillId="0" borderId="3964" xfId="0" applyNumberFormat="1" applyFont="1" applyBorder="1"/>
    <xf numFmtId="164" fontId="3657" fillId="0" borderId="3965" xfId="0" applyNumberFormat="1" applyFont="1" applyBorder="1"/>
    <xf numFmtId="164" fontId="3658" fillId="0" borderId="3966" xfId="0" applyNumberFormat="1" applyFont="1" applyBorder="1"/>
    <xf numFmtId="164" fontId="3659" fillId="0" borderId="3967" xfId="0" applyNumberFormat="1" applyFont="1" applyBorder="1"/>
    <xf numFmtId="164" fontId="3660" fillId="0" borderId="3968" xfId="0" applyNumberFormat="1" applyFont="1" applyBorder="1"/>
    <xf numFmtId="164" fontId="3741" fillId="0" borderId="4056" xfId="0" applyNumberFormat="1" applyFont="1" applyBorder="1"/>
    <xf numFmtId="164" fontId="3742" fillId="0" borderId="4057" xfId="0" applyNumberFormat="1" applyFont="1" applyBorder="1"/>
    <xf numFmtId="164" fontId="3743" fillId="0" borderId="4058" xfId="0" applyNumberFormat="1" applyFont="1" applyBorder="1"/>
    <xf numFmtId="164" fontId="3744" fillId="0" borderId="4059" xfId="0" applyNumberFormat="1" applyFont="1" applyBorder="1"/>
    <xf numFmtId="164" fontId="3745" fillId="0" borderId="4060" xfId="0" applyNumberFormat="1" applyFont="1" applyBorder="1"/>
    <xf numFmtId="164" fontId="3824" fillId="0" borderId="4146" xfId="0" applyNumberFormat="1" applyFont="1" applyBorder="1"/>
    <xf numFmtId="164" fontId="3825" fillId="0" borderId="4147" xfId="0" applyNumberFormat="1" applyFont="1" applyBorder="1"/>
    <xf numFmtId="164" fontId="3826" fillId="0" borderId="4148" xfId="0" applyNumberFormat="1" applyFont="1" applyBorder="1"/>
    <xf numFmtId="164" fontId="3901" fillId="0" borderId="4230" xfId="0" applyNumberFormat="1" applyFont="1" applyBorder="1"/>
    <xf numFmtId="164" fontId="3902" fillId="0" borderId="4231" xfId="0" applyNumberFormat="1" applyFont="1" applyBorder="1"/>
    <xf numFmtId="164" fontId="3903" fillId="0" borderId="4232" xfId="0" applyNumberFormat="1" applyFont="1" applyBorder="1"/>
    <xf numFmtId="164" fontId="3904" fillId="0" borderId="4233" xfId="0" applyNumberFormat="1" applyFont="1" applyBorder="1"/>
    <xf numFmtId="164" fontId="3905" fillId="0" borderId="4234" xfId="0" applyNumberFormat="1" applyFont="1" applyBorder="1"/>
    <xf numFmtId="164" fontId="3676" fillId="0" borderId="3984" xfId="0" applyNumberFormat="1" applyFont="1" applyBorder="1"/>
    <xf numFmtId="164" fontId="3677" fillId="0" borderId="3985" xfId="0" applyNumberFormat="1" applyFont="1" applyBorder="1"/>
    <xf numFmtId="164" fontId="3678" fillId="0" borderId="3986" xfId="0" applyNumberFormat="1" applyFont="1" applyBorder="1"/>
    <xf numFmtId="164" fontId="3679" fillId="0" borderId="3987" xfId="0" applyNumberFormat="1" applyFont="1" applyBorder="1"/>
    <xf numFmtId="164" fontId="3680" fillId="0" borderId="3988" xfId="0" applyNumberFormat="1" applyFont="1" applyBorder="1"/>
    <xf numFmtId="164" fontId="3761" fillId="0" borderId="4076" xfId="0" applyNumberFormat="1" applyFont="1" applyBorder="1"/>
    <xf numFmtId="164" fontId="3762" fillId="0" borderId="4077" xfId="0" applyNumberFormat="1" applyFont="1" applyBorder="1"/>
    <xf numFmtId="164" fontId="3763" fillId="0" borderId="4078" xfId="0" applyNumberFormat="1" applyFont="1" applyBorder="1"/>
    <xf numFmtId="164" fontId="3764" fillId="0" borderId="4079" xfId="0" applyNumberFormat="1" applyFont="1" applyBorder="1"/>
    <xf numFmtId="164" fontId="3765" fillId="0" borderId="4080" xfId="0" applyNumberFormat="1" applyFont="1" applyBorder="1"/>
    <xf numFmtId="164" fontId="3842" fillId="0" borderId="4164" xfId="0" applyNumberFormat="1" applyFont="1" applyBorder="1"/>
    <xf numFmtId="164" fontId="3843" fillId="0" borderId="4165" xfId="0" applyNumberFormat="1" applyFont="1" applyBorder="1"/>
    <xf numFmtId="164" fontId="3844" fillId="0" borderId="4166" xfId="0" applyNumberFormat="1" applyFont="1" applyBorder="1"/>
    <xf numFmtId="164" fontId="3921" fillId="0" borderId="4250" xfId="0" applyNumberFormat="1" applyFont="1" applyBorder="1"/>
    <xf numFmtId="164" fontId="3922" fillId="0" borderId="4251" xfId="0" applyNumberFormat="1" applyFont="1" applyBorder="1"/>
    <xf numFmtId="164" fontId="3923" fillId="0" borderId="4252" xfId="0" applyNumberFormat="1" applyFont="1" applyBorder="1"/>
    <xf numFmtId="164" fontId="3924" fillId="0" borderId="4253" xfId="0" applyNumberFormat="1" applyFont="1" applyBorder="1"/>
    <xf numFmtId="164" fontId="3925" fillId="0" borderId="4254" xfId="0" applyNumberFormat="1" applyFont="1" applyBorder="1"/>
    <xf numFmtId="164" fontId="3695" fillId="0" borderId="4003" xfId="0" applyNumberFormat="1" applyFont="1" applyBorder="1"/>
    <xf numFmtId="164" fontId="3696" fillId="0" borderId="4004" xfId="0" applyNumberFormat="1" applyFont="1" applyBorder="1"/>
    <xf numFmtId="164" fontId="3697" fillId="0" borderId="4005" xfId="0" applyNumberFormat="1" applyFont="1" applyBorder="1"/>
    <xf numFmtId="164" fontId="3698" fillId="0" borderId="4006" xfId="0" applyNumberFormat="1" applyFont="1" applyBorder="1"/>
    <xf numFmtId="164" fontId="3699" fillId="0" borderId="4007" xfId="0" applyNumberFormat="1" applyFont="1" applyBorder="1"/>
    <xf numFmtId="164" fontId="3780" fillId="0" borderId="4095" xfId="0" applyNumberFormat="1" applyFont="1" applyBorder="1"/>
    <xf numFmtId="164" fontId="3781" fillId="0" borderId="4096" xfId="0" applyNumberFormat="1" applyFont="1" applyBorder="1"/>
    <xf numFmtId="164" fontId="3782" fillId="0" borderId="4097" xfId="0" applyNumberFormat="1" applyFont="1" applyBorder="1"/>
    <xf numFmtId="164" fontId="3783" fillId="0" borderId="4098" xfId="0" applyNumberFormat="1" applyFont="1" applyBorder="1"/>
    <xf numFmtId="164" fontId="3784" fillId="0" borderId="4099" xfId="0" applyNumberFormat="1" applyFont="1" applyBorder="1"/>
    <xf numFmtId="164" fontId="3859" fillId="0" borderId="4181" xfId="0" applyNumberFormat="1" applyFont="1" applyBorder="1"/>
    <xf numFmtId="164" fontId="3860" fillId="0" borderId="4182" xfId="0" applyNumberFormat="1" applyFont="1" applyBorder="1"/>
    <xf numFmtId="164" fontId="3861" fillId="0" borderId="4183" xfId="0" applyNumberFormat="1" applyFont="1" applyBorder="1"/>
    <xf numFmtId="164" fontId="3940" fillId="0" borderId="4269" xfId="0" applyNumberFormat="1" applyFont="1" applyBorder="1"/>
    <xf numFmtId="164" fontId="3941" fillId="0" borderId="4270" xfId="0" applyNumberFormat="1" applyFont="1" applyBorder="1"/>
    <xf numFmtId="164" fontId="3942" fillId="0" borderId="4271" xfId="0" applyNumberFormat="1" applyFont="1" applyBorder="1"/>
    <xf numFmtId="164" fontId="3943" fillId="0" borderId="4272" xfId="0" applyNumberFormat="1" applyFont="1" applyBorder="1"/>
    <xf numFmtId="164" fontId="3944" fillId="0" borderId="4273" xfId="0" applyNumberFormat="1" applyFont="1" applyBorder="1"/>
    <xf numFmtId="164" fontId="3707" fillId="0" borderId="4022" xfId="0" applyNumberFormat="1" applyFont="1" applyBorder="1"/>
    <xf numFmtId="164" fontId="3708" fillId="0" borderId="4023" xfId="0" applyNumberFormat="1" applyFont="1" applyBorder="1"/>
    <xf numFmtId="164" fontId="3709" fillId="0" borderId="4024" xfId="0" applyNumberFormat="1" applyFont="1" applyBorder="1"/>
    <xf numFmtId="164" fontId="3710" fillId="0" borderId="4025" xfId="0" applyNumberFormat="1" applyFont="1" applyBorder="1"/>
    <xf numFmtId="164" fontId="3711" fillId="0" borderId="4026" xfId="0" applyNumberFormat="1" applyFont="1" applyBorder="1"/>
    <xf numFmtId="164" fontId="3792" fillId="0" borderId="4114" xfId="0" applyNumberFormat="1" applyFont="1" applyBorder="1"/>
    <xf numFmtId="164" fontId="3793" fillId="0" borderId="4115" xfId="0" applyNumberFormat="1" applyFont="1" applyBorder="1"/>
    <xf numFmtId="164" fontId="3794" fillId="0" borderId="4116" xfId="0" applyNumberFormat="1" applyFont="1" applyBorder="1"/>
    <xf numFmtId="164" fontId="3795" fillId="0" borderId="4117" xfId="0" applyNumberFormat="1" applyFont="1" applyBorder="1"/>
    <xf numFmtId="164" fontId="3796" fillId="0" borderId="4118" xfId="0" applyNumberFormat="1" applyFont="1" applyBorder="1"/>
    <xf numFmtId="164" fontId="3869" fillId="0" borderId="4198" xfId="0" applyNumberFormat="1" applyFont="1" applyBorder="1"/>
    <xf numFmtId="164" fontId="3870" fillId="0" borderId="4199" xfId="0" applyNumberFormat="1" applyFont="1" applyBorder="1"/>
    <xf numFmtId="164" fontId="3871" fillId="0" borderId="4200" xfId="0" applyNumberFormat="1" applyFont="1" applyBorder="1"/>
    <xf numFmtId="164" fontId="3952" fillId="0" borderId="4288" xfId="0" applyNumberFormat="1" applyFont="1" applyBorder="1"/>
    <xf numFmtId="164" fontId="3953" fillId="0" borderId="4289" xfId="0" applyNumberFormat="1" applyFont="1" applyBorder="1"/>
    <xf numFmtId="164" fontId="3954" fillId="0" borderId="4290" xfId="0" applyNumberFormat="1" applyFont="1" applyBorder="1"/>
    <xf numFmtId="164" fontId="3955" fillId="0" borderId="4291" xfId="0" applyNumberFormat="1" applyFont="1" applyBorder="1"/>
    <xf numFmtId="164" fontId="3956" fillId="0" borderId="4292" xfId="0" applyNumberFormat="1" applyFont="1" applyBorder="1"/>
    <xf numFmtId="164" fontId="5635" fillId="0" borderId="5971" xfId="0" applyNumberFormat="1" applyFont="1" applyBorder="1"/>
    <xf numFmtId="164" fontId="5636" fillId="0" borderId="5972" xfId="0" applyNumberFormat="1" applyFont="1" applyBorder="1"/>
    <xf numFmtId="164" fontId="5637" fillId="0" borderId="5973" xfId="0" applyNumberFormat="1" applyFont="1" applyBorder="1"/>
    <xf numFmtId="164" fontId="5638" fillId="0" borderId="5974" xfId="0" applyNumberFormat="1" applyFont="1" applyBorder="1"/>
    <xf numFmtId="164" fontId="5639" fillId="0" borderId="5975" xfId="0" applyNumberFormat="1" applyFont="1" applyBorder="1"/>
    <xf numFmtId="164" fontId="5674" fillId="0" borderId="6010" xfId="0" applyNumberFormat="1" applyFont="1" applyBorder="1"/>
    <xf numFmtId="164" fontId="5675" fillId="0" borderId="6011" xfId="0" applyNumberFormat="1" applyFont="1" applyBorder="1"/>
    <xf numFmtId="164" fontId="5676" fillId="0" borderId="6012" xfId="0" applyNumberFormat="1" applyFont="1" applyBorder="1"/>
    <xf numFmtId="164" fontId="5677" fillId="0" borderId="6013" xfId="0" applyNumberFormat="1" applyFont="1" applyBorder="1"/>
    <xf numFmtId="164" fontId="5678" fillId="0" borderId="6014" xfId="0" applyNumberFormat="1" applyFont="1" applyBorder="1"/>
    <xf numFmtId="164" fontId="5713" fillId="0" borderId="6049" xfId="0" applyNumberFormat="1" applyFont="1" applyBorder="1"/>
    <xf numFmtId="164" fontId="5714" fillId="0" borderId="6050" xfId="0" applyNumberFormat="1" applyFont="1" applyBorder="1"/>
    <xf numFmtId="164" fontId="5715" fillId="0" borderId="6051" xfId="0" applyNumberFormat="1" applyFont="1" applyBorder="1"/>
    <xf numFmtId="164" fontId="5748" fillId="0" borderId="6084" xfId="0" applyNumberFormat="1" applyFont="1" applyBorder="1"/>
    <xf numFmtId="164" fontId="5749" fillId="0" borderId="6085" xfId="0" applyNumberFormat="1" applyFont="1" applyBorder="1"/>
    <xf numFmtId="164" fontId="5750" fillId="0" borderId="6086" xfId="0" applyNumberFormat="1" applyFont="1" applyBorder="1"/>
    <xf numFmtId="164" fontId="5751" fillId="0" borderId="6087" xfId="0" applyNumberFormat="1" applyFont="1" applyBorder="1"/>
    <xf numFmtId="164" fontId="5752" fillId="0" borderId="6088" xfId="0" applyNumberFormat="1" applyFont="1" applyBorder="1"/>
    <xf numFmtId="164" fontId="5653" fillId="0" borderId="5989" xfId="0" applyNumberFormat="1" applyFont="1" applyBorder="1"/>
    <xf numFmtId="164" fontId="5654" fillId="0" borderId="5990" xfId="0" applyNumberFormat="1" applyFont="1" applyBorder="1"/>
    <xf numFmtId="164" fontId="5655" fillId="0" borderId="5991" xfId="0" applyNumberFormat="1" applyFont="1" applyBorder="1"/>
    <xf numFmtId="164" fontId="5656" fillId="0" borderId="5992" xfId="0" applyNumberFormat="1" applyFont="1" applyBorder="1"/>
    <xf numFmtId="164" fontId="5657" fillId="0" borderId="5993" xfId="0" applyNumberFormat="1" applyFont="1" applyBorder="1"/>
    <xf numFmtId="164" fontId="5692" fillId="0" borderId="6028" xfId="0" applyNumberFormat="1" applyFont="1" applyBorder="1"/>
    <xf numFmtId="164" fontId="5693" fillId="0" borderId="6029" xfId="0" applyNumberFormat="1" applyFont="1" applyBorder="1"/>
    <xf numFmtId="164" fontId="5694" fillId="0" borderId="6030" xfId="0" applyNumberFormat="1" applyFont="1" applyBorder="1"/>
    <xf numFmtId="164" fontId="5695" fillId="0" borderId="6031" xfId="0" applyNumberFormat="1" applyFont="1" applyBorder="1"/>
    <xf numFmtId="164" fontId="5696" fillId="0" borderId="6032" xfId="0" applyNumberFormat="1" applyFont="1" applyBorder="1"/>
    <xf numFmtId="164" fontId="5729" fillId="0" borderId="6065" xfId="0" applyNumberFormat="1" applyFont="1" applyBorder="1"/>
    <xf numFmtId="164" fontId="5730" fillId="0" borderId="6066" xfId="0" applyNumberFormat="1" applyFont="1" applyBorder="1"/>
    <xf numFmtId="164" fontId="5731" fillId="0" borderId="6067" xfId="0" applyNumberFormat="1" applyFont="1" applyBorder="1"/>
    <xf numFmtId="164" fontId="5766" fillId="0" borderId="6102" xfId="0" applyNumberFormat="1" applyFont="1" applyBorder="1"/>
    <xf numFmtId="164" fontId="5767" fillId="0" borderId="6103" xfId="0" applyNumberFormat="1" applyFont="1" applyBorder="1"/>
    <xf numFmtId="164" fontId="5768" fillId="0" borderId="6104" xfId="0" applyNumberFormat="1" applyFont="1" applyBorder="1"/>
    <xf numFmtId="164" fontId="5769" fillId="0" borderId="6105" xfId="0" applyNumberFormat="1" applyFont="1" applyBorder="1"/>
    <xf numFmtId="164" fontId="5770" fillId="0" borderId="6106" xfId="0" applyNumberFormat="1" applyFont="1" applyBorder="1"/>
    <xf numFmtId="164" fontId="3306" fillId="0" borderId="3586" xfId="0" applyNumberFormat="1" applyFont="1" applyBorder="1"/>
    <xf numFmtId="164" fontId="3307" fillId="0" borderId="3587" xfId="0" applyNumberFormat="1" applyFont="1" applyBorder="1"/>
    <xf numFmtId="164" fontId="3308" fillId="0" borderId="3588" xfId="0" applyNumberFormat="1" applyFont="1" applyBorder="1"/>
    <xf numFmtId="164" fontId="3309" fillId="0" borderId="3589" xfId="0" applyNumberFormat="1" applyFont="1" applyBorder="1"/>
    <xf numFmtId="164" fontId="3310" fillId="0" borderId="3590" xfId="0" applyNumberFormat="1" applyFont="1" applyBorder="1"/>
    <xf numFmtId="164" fontId="3391" fillId="0" borderId="3678" xfId="0" applyNumberFormat="1" applyFont="1" applyBorder="1"/>
    <xf numFmtId="164" fontId="3392" fillId="0" borderId="3679" xfId="0" applyNumberFormat="1" applyFont="1" applyBorder="1"/>
    <xf numFmtId="164" fontId="3393" fillId="0" borderId="3680" xfId="0" applyNumberFormat="1" applyFont="1" applyBorder="1"/>
    <xf numFmtId="164" fontId="3394" fillId="0" borderId="3681" xfId="0" applyNumberFormat="1" applyFont="1" applyBorder="1"/>
    <xf numFmtId="164" fontId="3395" fillId="0" borderId="3682" xfId="0" applyNumberFormat="1" applyFont="1" applyBorder="1"/>
    <xf numFmtId="164" fontId="3476" fillId="0" borderId="3770" xfId="0" applyNumberFormat="1" applyFont="1" applyBorder="1"/>
    <xf numFmtId="164" fontId="3477" fillId="0" borderId="3771" xfId="0" applyNumberFormat="1" applyFont="1" applyBorder="1"/>
    <xf numFmtId="164" fontId="3478" fillId="0" borderId="3772" xfId="0" applyNumberFormat="1" applyFont="1" applyBorder="1"/>
    <xf numFmtId="164" fontId="3551" fillId="0" borderId="3852" xfId="0" applyNumberFormat="1" applyFont="1" applyBorder="1"/>
    <xf numFmtId="164" fontId="3552" fillId="0" borderId="3853" xfId="0" applyNumberFormat="1" applyFont="1" applyBorder="1"/>
    <xf numFmtId="164" fontId="3553" fillId="0" borderId="3854" xfId="0" applyNumberFormat="1" applyFont="1" applyBorder="1"/>
    <xf numFmtId="164" fontId="3554" fillId="0" borderId="3855" xfId="0" applyNumberFormat="1" applyFont="1" applyBorder="1"/>
    <xf numFmtId="164" fontId="3555" fillId="0" borderId="3856" xfId="0" applyNumberFormat="1" applyFont="1" applyBorder="1"/>
    <xf numFmtId="164" fontId="3326" fillId="0" borderId="3606" xfId="0" applyNumberFormat="1" applyFont="1" applyBorder="1"/>
    <xf numFmtId="164" fontId="3327" fillId="0" borderId="3607" xfId="0" applyNumberFormat="1" applyFont="1" applyBorder="1"/>
    <xf numFmtId="164" fontId="3328" fillId="0" borderId="3608" xfId="0" applyNumberFormat="1" applyFont="1" applyBorder="1"/>
    <xf numFmtId="164" fontId="3329" fillId="0" borderId="3609" xfId="0" applyNumberFormat="1" applyFont="1" applyBorder="1"/>
    <xf numFmtId="164" fontId="3330" fillId="0" borderId="3610" xfId="0" applyNumberFormat="1" applyFont="1" applyBorder="1"/>
    <xf numFmtId="164" fontId="3411" fillId="0" borderId="3698" xfId="0" applyNumberFormat="1" applyFont="1" applyBorder="1"/>
    <xf numFmtId="164" fontId="3412" fillId="0" borderId="3699" xfId="0" applyNumberFormat="1" applyFont="1" applyBorder="1"/>
    <xf numFmtId="164" fontId="3413" fillId="0" borderId="3700" xfId="0" applyNumberFormat="1" applyFont="1" applyBorder="1"/>
    <xf numFmtId="164" fontId="3414" fillId="0" borderId="3701" xfId="0" applyNumberFormat="1" applyFont="1" applyBorder="1"/>
    <xf numFmtId="164" fontId="3415" fillId="0" borderId="3702" xfId="0" applyNumberFormat="1" applyFont="1" applyBorder="1"/>
    <xf numFmtId="164" fontId="3494" fillId="0" borderId="3788" xfId="0" applyNumberFormat="1" applyFont="1" applyBorder="1"/>
    <xf numFmtId="164" fontId="3495" fillId="0" borderId="3789" xfId="0" applyNumberFormat="1" applyFont="1" applyBorder="1"/>
    <xf numFmtId="164" fontId="3496" fillId="0" borderId="3790" xfId="0" applyNumberFormat="1" applyFont="1" applyBorder="1"/>
    <xf numFmtId="164" fontId="3571" fillId="0" borderId="3872" xfId="0" applyNumberFormat="1" applyFont="1" applyBorder="1"/>
    <xf numFmtId="164" fontId="3572" fillId="0" borderId="3873" xfId="0" applyNumberFormat="1" applyFont="1" applyBorder="1"/>
    <xf numFmtId="164" fontId="3573" fillId="0" borderId="3874" xfId="0" applyNumberFormat="1" applyFont="1" applyBorder="1"/>
    <xf numFmtId="164" fontId="3574" fillId="0" borderId="3875" xfId="0" applyNumberFormat="1" applyFont="1" applyBorder="1"/>
    <xf numFmtId="164" fontId="3575" fillId="0" borderId="3876" xfId="0" applyNumberFormat="1" applyFont="1" applyBorder="1"/>
    <xf numFmtId="164" fontId="3346" fillId="0" borderId="3626" xfId="0" applyNumberFormat="1" applyFont="1" applyBorder="1"/>
    <xf numFmtId="164" fontId="3347" fillId="0" borderId="3627" xfId="0" applyNumberFormat="1" applyFont="1" applyBorder="1"/>
    <xf numFmtId="164" fontId="3348" fillId="0" borderId="3628" xfId="0" applyNumberFormat="1" applyFont="1" applyBorder="1"/>
    <xf numFmtId="164" fontId="3349" fillId="0" borderId="3629" xfId="0" applyNumberFormat="1" applyFont="1" applyBorder="1"/>
    <xf numFmtId="164" fontId="3350" fillId="0" borderId="3630" xfId="0" applyNumberFormat="1" applyFont="1" applyBorder="1"/>
    <xf numFmtId="164" fontId="3431" fillId="0" borderId="3718" xfId="0" applyNumberFormat="1" applyFont="1" applyBorder="1"/>
    <xf numFmtId="164" fontId="3432" fillId="0" borderId="3719" xfId="0" applyNumberFormat="1" applyFont="1" applyBorder="1"/>
    <xf numFmtId="164" fontId="3433" fillId="0" borderId="3720" xfId="0" applyNumberFormat="1" applyFont="1" applyBorder="1"/>
    <xf numFmtId="164" fontId="3434" fillId="0" borderId="3721" xfId="0" applyNumberFormat="1" applyFont="1" applyBorder="1"/>
    <xf numFmtId="164" fontId="3435" fillId="0" borderId="3722" xfId="0" applyNumberFormat="1" applyFont="1" applyBorder="1"/>
    <xf numFmtId="164" fontId="3512" fillId="0" borderId="3806" xfId="0" applyNumberFormat="1" applyFont="1" applyBorder="1"/>
    <xf numFmtId="164" fontId="3513" fillId="0" borderId="3807" xfId="0" applyNumberFormat="1" applyFont="1" applyBorder="1"/>
    <xf numFmtId="164" fontId="3514" fillId="0" borderId="3808" xfId="0" applyNumberFormat="1" applyFont="1" applyBorder="1"/>
    <xf numFmtId="164" fontId="3591" fillId="0" borderId="3892" xfId="0" applyNumberFormat="1" applyFont="1" applyBorder="1"/>
    <xf numFmtId="164" fontId="3592" fillId="0" borderId="3893" xfId="0" applyNumberFormat="1" applyFont="1" applyBorder="1"/>
    <xf numFmtId="164" fontId="3593" fillId="0" borderId="3894" xfId="0" applyNumberFormat="1" applyFont="1" applyBorder="1"/>
    <xf numFmtId="164" fontId="3594" fillId="0" borderId="3895" xfId="0" applyNumberFormat="1" applyFont="1" applyBorder="1"/>
    <xf numFmtId="164" fontId="3595" fillId="0" borderId="3896" xfId="0" applyNumberFormat="1" applyFont="1" applyBorder="1"/>
    <xf numFmtId="164" fontId="3365" fillId="0" borderId="3645" xfId="0" applyNumberFormat="1" applyFont="1" applyBorder="1"/>
    <xf numFmtId="164" fontId="3366" fillId="0" borderId="3646" xfId="0" applyNumberFormat="1" applyFont="1" applyBorder="1"/>
    <xf numFmtId="164" fontId="3367" fillId="0" borderId="3647" xfId="0" applyNumberFormat="1" applyFont="1" applyBorder="1"/>
    <xf numFmtId="164" fontId="3368" fillId="0" borderId="3648" xfId="0" applyNumberFormat="1" applyFont="1" applyBorder="1"/>
    <xf numFmtId="164" fontId="3369" fillId="0" borderId="3649" xfId="0" applyNumberFormat="1" applyFont="1" applyBorder="1"/>
    <xf numFmtId="164" fontId="3450" fillId="0" borderId="3737" xfId="0" applyNumberFormat="1" applyFont="1" applyBorder="1"/>
    <xf numFmtId="164" fontId="3451" fillId="0" borderId="3738" xfId="0" applyNumberFormat="1" applyFont="1" applyBorder="1"/>
    <xf numFmtId="164" fontId="3452" fillId="0" borderId="3739" xfId="0" applyNumberFormat="1" applyFont="1" applyBorder="1"/>
    <xf numFmtId="164" fontId="3453" fillId="0" borderId="3740" xfId="0" applyNumberFormat="1" applyFont="1" applyBorder="1"/>
    <xf numFmtId="164" fontId="3454" fillId="0" borderId="3741" xfId="0" applyNumberFormat="1" applyFont="1" applyBorder="1"/>
    <xf numFmtId="164" fontId="3529" fillId="0" borderId="3823" xfId="0" applyNumberFormat="1" applyFont="1" applyBorder="1"/>
    <xf numFmtId="164" fontId="3530" fillId="0" borderId="3824" xfId="0" applyNumberFormat="1" applyFont="1" applyBorder="1"/>
    <xf numFmtId="164" fontId="3531" fillId="0" borderId="3825" xfId="0" applyNumberFormat="1" applyFont="1" applyBorder="1"/>
    <xf numFmtId="164" fontId="3610" fillId="0" borderId="3911" xfId="0" applyNumberFormat="1" applyFont="1" applyBorder="1"/>
    <xf numFmtId="164" fontId="3611" fillId="0" borderId="3912" xfId="0" applyNumberFormat="1" applyFont="1" applyBorder="1"/>
    <xf numFmtId="164" fontId="3612" fillId="0" borderId="3913" xfId="0" applyNumberFormat="1" applyFont="1" applyBorder="1"/>
    <xf numFmtId="164" fontId="3613" fillId="0" borderId="3914" xfId="0" applyNumberFormat="1" applyFont="1" applyBorder="1"/>
    <xf numFmtId="164" fontId="3614" fillId="0" borderId="3915" xfId="0" applyNumberFormat="1" applyFont="1" applyBorder="1"/>
    <xf numFmtId="164" fontId="3377" fillId="0" borderId="3664" xfId="0" applyNumberFormat="1" applyFont="1" applyBorder="1"/>
    <xf numFmtId="164" fontId="3378" fillId="0" borderId="3665" xfId="0" applyNumberFormat="1" applyFont="1" applyBorder="1"/>
    <xf numFmtId="164" fontId="3379" fillId="0" borderId="3666" xfId="0" applyNumberFormat="1" applyFont="1" applyBorder="1"/>
    <xf numFmtId="164" fontId="3380" fillId="0" borderId="3667" xfId="0" applyNumberFormat="1" applyFont="1" applyBorder="1"/>
    <xf numFmtId="164" fontId="3381" fillId="0" borderId="3668" xfId="0" applyNumberFormat="1" applyFont="1" applyBorder="1"/>
    <xf numFmtId="164" fontId="3462" fillId="0" borderId="3756" xfId="0" applyNumberFormat="1" applyFont="1" applyBorder="1"/>
    <xf numFmtId="164" fontId="3463" fillId="0" borderId="3757" xfId="0" applyNumberFormat="1" applyFont="1" applyBorder="1"/>
    <xf numFmtId="164" fontId="3464" fillId="0" borderId="3758" xfId="0" applyNumberFormat="1" applyFont="1" applyBorder="1"/>
    <xf numFmtId="164" fontId="3465" fillId="0" borderId="3759" xfId="0" applyNumberFormat="1" applyFont="1" applyBorder="1"/>
    <xf numFmtId="164" fontId="3466" fillId="0" borderId="3760" xfId="0" applyNumberFormat="1" applyFont="1" applyBorder="1"/>
    <xf numFmtId="164" fontId="3539" fillId="0" borderId="3840" xfId="0" applyNumberFormat="1" applyFont="1" applyBorder="1"/>
    <xf numFmtId="164" fontId="3540" fillId="0" borderId="3841" xfId="0" applyNumberFormat="1" applyFont="1" applyBorder="1"/>
    <xf numFmtId="164" fontId="3541" fillId="0" borderId="3842" xfId="0" applyNumberFormat="1" applyFont="1" applyBorder="1"/>
    <xf numFmtId="164" fontId="3622" fillId="0" borderId="3930" xfId="0" applyNumberFormat="1" applyFont="1" applyBorder="1"/>
    <xf numFmtId="164" fontId="3623" fillId="0" borderId="3931" xfId="0" applyNumberFormat="1" applyFont="1" applyBorder="1"/>
    <xf numFmtId="164" fontId="3624" fillId="0" borderId="3932" xfId="0" applyNumberFormat="1" applyFont="1" applyBorder="1"/>
    <xf numFmtId="164" fontId="3625" fillId="0" borderId="3933" xfId="0" applyNumberFormat="1" applyFont="1" applyBorder="1"/>
    <xf numFmtId="164" fontId="3626" fillId="0" borderId="3934" xfId="0" applyNumberFormat="1" applyFont="1" applyBorder="1"/>
    <xf numFmtId="164" fontId="5483" fillId="0" borderId="5819" xfId="0" applyNumberFormat="1" applyFont="1" applyBorder="1"/>
    <xf numFmtId="164" fontId="5484" fillId="0" borderId="5820" xfId="0" applyNumberFormat="1" applyFont="1" applyBorder="1"/>
    <xf numFmtId="164" fontId="5485" fillId="0" borderId="5821" xfId="0" applyNumberFormat="1" applyFont="1" applyBorder="1"/>
    <xf numFmtId="164" fontId="5486" fillId="0" borderId="5822" xfId="0" applyNumberFormat="1" applyFont="1" applyBorder="1"/>
    <xf numFmtId="164" fontId="5487" fillId="0" borderId="5823" xfId="0" applyNumberFormat="1" applyFont="1" applyBorder="1"/>
    <xf numFmtId="164" fontId="5522" fillId="0" borderId="5858" xfId="0" applyNumberFormat="1" applyFont="1" applyBorder="1"/>
    <xf numFmtId="164" fontId="5523" fillId="0" borderId="5859" xfId="0" applyNumberFormat="1" applyFont="1" applyBorder="1"/>
    <xf numFmtId="164" fontId="5524" fillId="0" borderId="5860" xfId="0" applyNumberFormat="1" applyFont="1" applyBorder="1"/>
    <xf numFmtId="164" fontId="5525" fillId="0" borderId="5861" xfId="0" applyNumberFormat="1" applyFont="1" applyBorder="1"/>
    <xf numFmtId="164" fontId="5526" fillId="0" borderId="5862" xfId="0" applyNumberFormat="1" applyFont="1" applyBorder="1"/>
    <xf numFmtId="164" fontId="5561" fillId="0" borderId="5897" xfId="0" applyNumberFormat="1" applyFont="1" applyBorder="1"/>
    <xf numFmtId="164" fontId="5562" fillId="0" borderId="5898" xfId="0" applyNumberFormat="1" applyFont="1" applyBorder="1"/>
    <xf numFmtId="164" fontId="5563" fillId="0" borderId="5899" xfId="0" applyNumberFormat="1" applyFont="1" applyBorder="1"/>
    <xf numFmtId="164" fontId="5596" fillId="0" borderId="5932" xfId="0" applyNumberFormat="1" applyFont="1" applyBorder="1"/>
    <xf numFmtId="164" fontId="5597" fillId="0" borderId="5933" xfId="0" applyNumberFormat="1" applyFont="1" applyBorder="1"/>
    <xf numFmtId="164" fontId="5598" fillId="0" borderId="5934" xfId="0" applyNumberFormat="1" applyFont="1" applyBorder="1"/>
    <xf numFmtId="164" fontId="5599" fillId="0" borderId="5935" xfId="0" applyNumberFormat="1" applyFont="1" applyBorder="1"/>
    <xf numFmtId="164" fontId="5600" fillId="0" borderId="5936" xfId="0" applyNumberFormat="1" applyFont="1" applyBorder="1"/>
    <xf numFmtId="164" fontId="5501" fillId="0" borderId="5837" xfId="0" applyNumberFormat="1" applyFont="1" applyBorder="1"/>
    <xf numFmtId="164" fontId="5502" fillId="0" borderId="5838" xfId="0" applyNumberFormat="1" applyFont="1" applyBorder="1"/>
    <xf numFmtId="164" fontId="5503" fillId="0" borderId="5839" xfId="0" applyNumberFormat="1" applyFont="1" applyBorder="1"/>
    <xf numFmtId="164" fontId="5504" fillId="0" borderId="5840" xfId="0" applyNumberFormat="1" applyFont="1" applyBorder="1"/>
    <xf numFmtId="164" fontId="5505" fillId="0" borderId="5841" xfId="0" applyNumberFormat="1" applyFont="1" applyBorder="1"/>
    <xf numFmtId="164" fontId="5540" fillId="0" borderId="5876" xfId="0" applyNumberFormat="1" applyFont="1" applyBorder="1"/>
    <xf numFmtId="164" fontId="5541" fillId="0" borderId="5877" xfId="0" applyNumberFormat="1" applyFont="1" applyBorder="1"/>
    <xf numFmtId="164" fontId="5542" fillId="0" borderId="5878" xfId="0" applyNumberFormat="1" applyFont="1" applyBorder="1"/>
    <xf numFmtId="164" fontId="5543" fillId="0" borderId="5879" xfId="0" applyNumberFormat="1" applyFont="1" applyBorder="1"/>
    <xf numFmtId="164" fontId="5544" fillId="0" borderId="5880" xfId="0" applyNumberFormat="1" applyFont="1" applyBorder="1"/>
    <xf numFmtId="164" fontId="5577" fillId="0" borderId="5913" xfId="0" applyNumberFormat="1" applyFont="1" applyBorder="1"/>
    <xf numFmtId="164" fontId="5578" fillId="0" borderId="5914" xfId="0" applyNumberFormat="1" applyFont="1" applyBorder="1"/>
    <xf numFmtId="164" fontId="5579" fillId="0" borderId="5915" xfId="0" applyNumberFormat="1" applyFont="1" applyBorder="1"/>
    <xf numFmtId="164" fontId="5614" fillId="0" borderId="5950" xfId="0" applyNumberFormat="1" applyFont="1" applyBorder="1"/>
    <xf numFmtId="164" fontId="5615" fillId="0" borderId="5951" xfId="0" applyNumberFormat="1" applyFont="1" applyBorder="1"/>
    <xf numFmtId="164" fontId="5616" fillId="0" borderId="5952" xfId="0" applyNumberFormat="1" applyFont="1" applyBorder="1"/>
    <xf numFmtId="164" fontId="5617" fillId="0" borderId="5953" xfId="0" applyNumberFormat="1" applyFont="1" applyBorder="1"/>
    <xf numFmtId="164" fontId="5618" fillId="0" borderId="5954" xfId="0" applyNumberFormat="1" applyFont="1" applyBorder="1"/>
    <xf numFmtId="164" fontId="2976" fillId="0" borderId="3228" xfId="0" applyNumberFormat="1" applyFont="1" applyBorder="1"/>
    <xf numFmtId="164" fontId="2977" fillId="0" borderId="3229" xfId="0" applyNumberFormat="1" applyFont="1" applyBorder="1"/>
    <xf numFmtId="164" fontId="2978" fillId="0" borderId="3230" xfId="0" applyNumberFormat="1" applyFont="1" applyBorder="1"/>
    <xf numFmtId="164" fontId="2979" fillId="0" borderId="3231" xfId="0" applyNumberFormat="1" applyFont="1" applyBorder="1"/>
    <xf numFmtId="164" fontId="2980" fillId="0" borderId="3232" xfId="0" applyNumberFormat="1" applyFont="1" applyBorder="1"/>
    <xf numFmtId="164" fontId="3061" fillId="0" borderId="3320" xfId="0" applyNumberFormat="1" applyFont="1" applyBorder="1"/>
    <xf numFmtId="164" fontId="3062" fillId="0" borderId="3321" xfId="0" applyNumberFormat="1" applyFont="1" applyBorder="1"/>
    <xf numFmtId="164" fontId="3063" fillId="0" borderId="3322" xfId="0" applyNumberFormat="1" applyFont="1" applyBorder="1"/>
    <xf numFmtId="164" fontId="3064" fillId="0" borderId="3323" xfId="0" applyNumberFormat="1" applyFont="1" applyBorder="1"/>
    <xf numFmtId="164" fontId="3065" fillId="0" borderId="3324" xfId="0" applyNumberFormat="1" applyFont="1" applyBorder="1"/>
    <xf numFmtId="164" fontId="3146" fillId="0" borderId="3412" xfId="0" applyNumberFormat="1" applyFont="1" applyBorder="1"/>
    <xf numFmtId="164" fontId="3147" fillId="0" borderId="3413" xfId="0" applyNumberFormat="1" applyFont="1" applyBorder="1"/>
    <xf numFmtId="164" fontId="3148" fillId="0" borderId="3414" xfId="0" applyNumberFormat="1" applyFont="1" applyBorder="1"/>
    <xf numFmtId="164" fontId="3221" fillId="0" borderId="3494" xfId="0" applyNumberFormat="1" applyFont="1" applyBorder="1"/>
    <xf numFmtId="164" fontId="3222" fillId="0" borderId="3495" xfId="0" applyNumberFormat="1" applyFont="1" applyBorder="1"/>
    <xf numFmtId="164" fontId="3223" fillId="0" borderId="3496" xfId="0" applyNumberFormat="1" applyFont="1" applyBorder="1"/>
    <xf numFmtId="164" fontId="3224" fillId="0" borderId="3497" xfId="0" applyNumberFormat="1" applyFont="1" applyBorder="1"/>
    <xf numFmtId="164" fontId="3225" fillId="0" borderId="3498" xfId="0" applyNumberFormat="1" applyFont="1" applyBorder="1"/>
    <xf numFmtId="164" fontId="2996" fillId="0" borderId="3248" xfId="0" applyNumberFormat="1" applyFont="1" applyBorder="1"/>
    <xf numFmtId="164" fontId="2997" fillId="0" borderId="3249" xfId="0" applyNumberFormat="1" applyFont="1" applyBorder="1"/>
    <xf numFmtId="164" fontId="2998" fillId="0" borderId="3250" xfId="0" applyNumberFormat="1" applyFont="1" applyBorder="1"/>
    <xf numFmtId="164" fontId="2999" fillId="0" borderId="3251" xfId="0" applyNumberFormat="1" applyFont="1" applyBorder="1"/>
    <xf numFmtId="164" fontId="3000" fillId="0" borderId="3252" xfId="0" applyNumberFormat="1" applyFont="1" applyBorder="1"/>
    <xf numFmtId="164" fontId="3081" fillId="0" borderId="3340" xfId="0" applyNumberFormat="1" applyFont="1" applyBorder="1"/>
    <xf numFmtId="164" fontId="3082" fillId="0" borderId="3341" xfId="0" applyNumberFormat="1" applyFont="1" applyBorder="1"/>
    <xf numFmtId="164" fontId="3083" fillId="0" borderId="3342" xfId="0" applyNumberFormat="1" applyFont="1" applyBorder="1"/>
    <xf numFmtId="164" fontId="3084" fillId="0" borderId="3343" xfId="0" applyNumberFormat="1" applyFont="1" applyBorder="1"/>
    <xf numFmtId="164" fontId="3085" fillId="0" borderId="3344" xfId="0" applyNumberFormat="1" applyFont="1" applyBorder="1"/>
    <xf numFmtId="164" fontId="3164" fillId="0" borderId="3430" xfId="0" applyNumberFormat="1" applyFont="1" applyBorder="1"/>
    <xf numFmtId="164" fontId="3165" fillId="0" borderId="3431" xfId="0" applyNumberFormat="1" applyFont="1" applyBorder="1"/>
    <xf numFmtId="164" fontId="3166" fillId="0" borderId="3432" xfId="0" applyNumberFormat="1" applyFont="1" applyBorder="1"/>
    <xf numFmtId="164" fontId="3241" fillId="0" borderId="3514" xfId="0" applyNumberFormat="1" applyFont="1" applyBorder="1"/>
    <xf numFmtId="164" fontId="3242" fillId="0" borderId="3515" xfId="0" applyNumberFormat="1" applyFont="1" applyBorder="1"/>
    <xf numFmtId="164" fontId="3243" fillId="0" borderId="3516" xfId="0" applyNumberFormat="1" applyFont="1" applyBorder="1"/>
    <xf numFmtId="164" fontId="3244" fillId="0" borderId="3517" xfId="0" applyNumberFormat="1" applyFont="1" applyBorder="1"/>
    <xf numFmtId="164" fontId="3245" fillId="0" borderId="3518" xfId="0" applyNumberFormat="1" applyFont="1" applyBorder="1"/>
    <xf numFmtId="164" fontId="3016" fillId="0" borderId="3268" xfId="0" applyNumberFormat="1" applyFont="1" applyBorder="1"/>
    <xf numFmtId="164" fontId="3017" fillId="0" borderId="3269" xfId="0" applyNumberFormat="1" applyFont="1" applyBorder="1"/>
    <xf numFmtId="164" fontId="3018" fillId="0" borderId="3270" xfId="0" applyNumberFormat="1" applyFont="1" applyBorder="1"/>
    <xf numFmtId="164" fontId="3019" fillId="0" borderId="3271" xfId="0" applyNumberFormat="1" applyFont="1" applyBorder="1"/>
    <xf numFmtId="164" fontId="3020" fillId="0" borderId="3272" xfId="0" applyNumberFormat="1" applyFont="1" applyBorder="1"/>
    <xf numFmtId="164" fontId="3101" fillId="0" borderId="3360" xfId="0" applyNumberFormat="1" applyFont="1" applyBorder="1"/>
    <xf numFmtId="164" fontId="3102" fillId="0" borderId="3361" xfId="0" applyNumberFormat="1" applyFont="1" applyBorder="1"/>
    <xf numFmtId="164" fontId="3103" fillId="0" borderId="3362" xfId="0" applyNumberFormat="1" applyFont="1" applyBorder="1"/>
    <xf numFmtId="164" fontId="3104" fillId="0" borderId="3363" xfId="0" applyNumberFormat="1" applyFont="1" applyBorder="1"/>
    <xf numFmtId="164" fontId="3105" fillId="0" borderId="3364" xfId="0" applyNumberFormat="1" applyFont="1" applyBorder="1"/>
    <xf numFmtId="164" fontId="3182" fillId="0" borderId="3448" xfId="0" applyNumberFormat="1" applyFont="1" applyBorder="1"/>
    <xf numFmtId="164" fontId="3183" fillId="0" borderId="3449" xfId="0" applyNumberFormat="1" applyFont="1" applyBorder="1"/>
    <xf numFmtId="164" fontId="3184" fillId="0" borderId="3450" xfId="0" applyNumberFormat="1" applyFont="1" applyBorder="1"/>
    <xf numFmtId="164" fontId="3261" fillId="0" borderId="3534" xfId="0" applyNumberFormat="1" applyFont="1" applyBorder="1"/>
    <xf numFmtId="164" fontId="3262" fillId="0" borderId="3535" xfId="0" applyNumberFormat="1" applyFont="1" applyBorder="1"/>
    <xf numFmtId="164" fontId="3263" fillId="0" borderId="3536" xfId="0" applyNumberFormat="1" applyFont="1" applyBorder="1"/>
    <xf numFmtId="164" fontId="3264" fillId="0" borderId="3537" xfId="0" applyNumberFormat="1" applyFont="1" applyBorder="1"/>
    <xf numFmtId="164" fontId="3265" fillId="0" borderId="3538" xfId="0" applyNumberFormat="1" applyFont="1" applyBorder="1"/>
    <xf numFmtId="164" fontId="3035" fillId="0" borderId="3287" xfId="0" applyNumberFormat="1" applyFont="1" applyBorder="1"/>
    <xf numFmtId="164" fontId="3036" fillId="0" borderId="3288" xfId="0" applyNumberFormat="1" applyFont="1" applyBorder="1"/>
    <xf numFmtId="164" fontId="3037" fillId="0" borderId="3289" xfId="0" applyNumberFormat="1" applyFont="1" applyBorder="1"/>
    <xf numFmtId="164" fontId="3038" fillId="0" borderId="3290" xfId="0" applyNumberFormat="1" applyFont="1" applyBorder="1"/>
    <xf numFmtId="164" fontId="3039" fillId="0" borderId="3291" xfId="0" applyNumberFormat="1" applyFont="1" applyBorder="1"/>
    <xf numFmtId="164" fontId="3120" fillId="0" borderId="3379" xfId="0" applyNumberFormat="1" applyFont="1" applyBorder="1"/>
    <xf numFmtId="164" fontId="3121" fillId="0" borderId="3380" xfId="0" applyNumberFormat="1" applyFont="1" applyBorder="1"/>
    <xf numFmtId="164" fontId="3122" fillId="0" borderId="3381" xfId="0" applyNumberFormat="1" applyFont="1" applyBorder="1"/>
    <xf numFmtId="164" fontId="3123" fillId="0" borderId="3382" xfId="0" applyNumberFormat="1" applyFont="1" applyBorder="1"/>
    <xf numFmtId="164" fontId="3124" fillId="0" borderId="3383" xfId="0" applyNumberFormat="1" applyFont="1" applyBorder="1"/>
    <xf numFmtId="164" fontId="3199" fillId="0" borderId="3465" xfId="0" applyNumberFormat="1" applyFont="1" applyBorder="1"/>
    <xf numFmtId="164" fontId="3200" fillId="0" borderId="3466" xfId="0" applyNumberFormat="1" applyFont="1" applyBorder="1"/>
    <xf numFmtId="164" fontId="3201" fillId="0" borderId="3467" xfId="0" applyNumberFormat="1" applyFont="1" applyBorder="1"/>
    <xf numFmtId="164" fontId="3280" fillId="0" borderId="3553" xfId="0" applyNumberFormat="1" applyFont="1" applyBorder="1"/>
    <xf numFmtId="164" fontId="3281" fillId="0" borderId="3554" xfId="0" applyNumberFormat="1" applyFont="1" applyBorder="1"/>
    <xf numFmtId="164" fontId="3282" fillId="0" borderId="3555" xfId="0" applyNumberFormat="1" applyFont="1" applyBorder="1"/>
    <xf numFmtId="164" fontId="3283" fillId="0" borderId="3556" xfId="0" applyNumberFormat="1" applyFont="1" applyBorder="1"/>
    <xf numFmtId="164" fontId="3284" fillId="0" borderId="3557" xfId="0" applyNumberFormat="1" applyFont="1" applyBorder="1"/>
    <xf numFmtId="164" fontId="3047" fillId="0" borderId="3306" xfId="0" applyNumberFormat="1" applyFont="1" applyBorder="1"/>
    <xf numFmtId="164" fontId="3048" fillId="0" borderId="3307" xfId="0" applyNumberFormat="1" applyFont="1" applyBorder="1"/>
    <xf numFmtId="164" fontId="3049" fillId="0" borderId="3308" xfId="0" applyNumberFormat="1" applyFont="1" applyBorder="1"/>
    <xf numFmtId="164" fontId="3050" fillId="0" borderId="3309" xfId="0" applyNumberFormat="1" applyFont="1" applyBorder="1"/>
    <xf numFmtId="164" fontId="3051" fillId="0" borderId="3310" xfId="0" applyNumberFormat="1" applyFont="1" applyBorder="1"/>
    <xf numFmtId="164" fontId="3132" fillId="0" borderId="3398" xfId="0" applyNumberFormat="1" applyFont="1" applyBorder="1"/>
    <xf numFmtId="164" fontId="3133" fillId="0" borderId="3399" xfId="0" applyNumberFormat="1" applyFont="1" applyBorder="1"/>
    <xf numFmtId="164" fontId="3134" fillId="0" borderId="3400" xfId="0" applyNumberFormat="1" applyFont="1" applyBorder="1"/>
    <xf numFmtId="164" fontId="3135" fillId="0" borderId="3401" xfId="0" applyNumberFormat="1" applyFont="1" applyBorder="1"/>
    <xf numFmtId="164" fontId="3136" fillId="0" borderId="3402" xfId="0" applyNumberFormat="1" applyFont="1" applyBorder="1"/>
    <xf numFmtId="164" fontId="3209" fillId="0" borderId="3482" xfId="0" applyNumberFormat="1" applyFont="1" applyBorder="1"/>
    <xf numFmtId="164" fontId="3210" fillId="0" borderId="3483" xfId="0" applyNumberFormat="1" applyFont="1" applyBorder="1"/>
    <xf numFmtId="164" fontId="3211" fillId="0" borderId="3484" xfId="0" applyNumberFormat="1" applyFont="1" applyBorder="1"/>
    <xf numFmtId="164" fontId="3292" fillId="0" borderId="3572" xfId="0" applyNumberFormat="1" applyFont="1" applyBorder="1"/>
    <xf numFmtId="164" fontId="3293" fillId="0" borderId="3573" xfId="0" applyNumberFormat="1" applyFont="1" applyBorder="1"/>
    <xf numFmtId="164" fontId="3294" fillId="0" borderId="3574" xfId="0" applyNumberFormat="1" applyFont="1" applyBorder="1"/>
    <xf numFmtId="164" fontId="3295" fillId="0" borderId="3575" xfId="0" applyNumberFormat="1" applyFont="1" applyBorder="1"/>
    <xf numFmtId="164" fontId="3296" fillId="0" borderId="3576" xfId="0" applyNumberFormat="1" applyFont="1" applyBorder="1"/>
    <xf numFmtId="164" fontId="5331" fillId="0" borderId="5667" xfId="0" applyNumberFormat="1" applyFont="1" applyBorder="1"/>
    <xf numFmtId="164" fontId="5332" fillId="0" borderId="5668" xfId="0" applyNumberFormat="1" applyFont="1" applyBorder="1"/>
    <xf numFmtId="164" fontId="5333" fillId="0" borderId="5669" xfId="0" applyNumberFormat="1" applyFont="1" applyBorder="1"/>
    <xf numFmtId="164" fontId="5334" fillId="0" borderId="5670" xfId="0" applyNumberFormat="1" applyFont="1" applyBorder="1"/>
    <xf numFmtId="164" fontId="5335" fillId="0" borderId="5671" xfId="0" applyNumberFormat="1" applyFont="1" applyBorder="1"/>
    <xf numFmtId="164" fontId="5370" fillId="0" borderId="5706" xfId="0" applyNumberFormat="1" applyFont="1" applyBorder="1"/>
    <xf numFmtId="164" fontId="5371" fillId="0" borderId="5707" xfId="0" applyNumberFormat="1" applyFont="1" applyBorder="1"/>
    <xf numFmtId="164" fontId="5372" fillId="0" borderId="5708" xfId="0" applyNumberFormat="1" applyFont="1" applyBorder="1"/>
    <xf numFmtId="164" fontId="5373" fillId="0" borderId="5709" xfId="0" applyNumberFormat="1" applyFont="1" applyBorder="1"/>
    <xf numFmtId="164" fontId="5374" fillId="0" borderId="5710" xfId="0" applyNumberFormat="1" applyFont="1" applyBorder="1"/>
    <xf numFmtId="164" fontId="5409" fillId="0" borderId="5745" xfId="0" applyNumberFormat="1" applyFont="1" applyBorder="1"/>
    <xf numFmtId="164" fontId="5410" fillId="0" borderId="5746" xfId="0" applyNumberFormat="1" applyFont="1" applyBorder="1"/>
    <xf numFmtId="164" fontId="5411" fillId="0" borderId="5747" xfId="0" applyNumberFormat="1" applyFont="1" applyBorder="1"/>
    <xf numFmtId="164" fontId="5444" fillId="0" borderId="5780" xfId="0" applyNumberFormat="1" applyFont="1" applyBorder="1"/>
    <xf numFmtId="164" fontId="5445" fillId="0" borderId="5781" xfId="0" applyNumberFormat="1" applyFont="1" applyBorder="1"/>
    <xf numFmtId="164" fontId="5446" fillId="0" borderId="5782" xfId="0" applyNumberFormat="1" applyFont="1" applyBorder="1"/>
    <xf numFmtId="164" fontId="5447" fillId="0" borderId="5783" xfId="0" applyNumberFormat="1" applyFont="1" applyBorder="1"/>
    <xf numFmtId="164" fontId="5448" fillId="0" borderId="5784" xfId="0" applyNumberFormat="1" applyFont="1" applyBorder="1"/>
    <xf numFmtId="164" fontId="5349" fillId="0" borderId="5685" xfId="0" applyNumberFormat="1" applyFont="1" applyBorder="1"/>
    <xf numFmtId="164" fontId="5350" fillId="0" borderId="5686" xfId="0" applyNumberFormat="1" applyFont="1" applyBorder="1"/>
    <xf numFmtId="164" fontId="5351" fillId="0" borderId="5687" xfId="0" applyNumberFormat="1" applyFont="1" applyBorder="1"/>
    <xf numFmtId="164" fontId="5352" fillId="0" borderId="5688" xfId="0" applyNumberFormat="1" applyFont="1" applyBorder="1"/>
    <xf numFmtId="164" fontId="5353" fillId="0" borderId="5689" xfId="0" applyNumberFormat="1" applyFont="1" applyBorder="1"/>
    <xf numFmtId="164" fontId="5388" fillId="0" borderId="5724" xfId="0" applyNumberFormat="1" applyFont="1" applyBorder="1"/>
    <xf numFmtId="164" fontId="5389" fillId="0" borderId="5725" xfId="0" applyNumberFormat="1" applyFont="1" applyBorder="1"/>
    <xf numFmtId="164" fontId="5390" fillId="0" borderId="5726" xfId="0" applyNumberFormat="1" applyFont="1" applyBorder="1"/>
    <xf numFmtId="164" fontId="5391" fillId="0" borderId="5727" xfId="0" applyNumberFormat="1" applyFont="1" applyBorder="1"/>
    <xf numFmtId="164" fontId="5392" fillId="0" borderId="5728" xfId="0" applyNumberFormat="1" applyFont="1" applyBorder="1"/>
    <xf numFmtId="164" fontId="5425" fillId="0" borderId="5761" xfId="0" applyNumberFormat="1" applyFont="1" applyBorder="1"/>
    <xf numFmtId="164" fontId="5426" fillId="0" borderId="5762" xfId="0" applyNumberFormat="1" applyFont="1" applyBorder="1"/>
    <xf numFmtId="164" fontId="5427" fillId="0" borderId="5763" xfId="0" applyNumberFormat="1" applyFont="1" applyBorder="1"/>
    <xf numFmtId="164" fontId="5462" fillId="0" borderId="5798" xfId="0" applyNumberFormat="1" applyFont="1" applyBorder="1"/>
    <xf numFmtId="164" fontId="5463" fillId="0" borderId="5799" xfId="0" applyNumberFormat="1" applyFont="1" applyBorder="1"/>
    <xf numFmtId="164" fontId="5464" fillId="0" borderId="5800" xfId="0" applyNumberFormat="1" applyFont="1" applyBorder="1"/>
    <xf numFmtId="164" fontId="5465" fillId="0" borderId="5801" xfId="0" applyNumberFormat="1" applyFont="1" applyBorder="1"/>
    <xf numFmtId="164" fontId="5466" fillId="0" borderId="5802" xfId="0" applyNumberFormat="1" applyFont="1" applyBorder="1"/>
    <xf numFmtId="164" fontId="2646" fillId="0" borderId="2870" xfId="0" applyNumberFormat="1" applyFont="1" applyBorder="1"/>
    <xf numFmtId="164" fontId="2647" fillId="0" borderId="2871" xfId="0" applyNumberFormat="1" applyFont="1" applyBorder="1"/>
    <xf numFmtId="164" fontId="2648" fillId="0" borderId="2872" xfId="0" applyNumberFormat="1" applyFont="1" applyBorder="1"/>
    <xf numFmtId="164" fontId="2649" fillId="0" borderId="2873" xfId="0" applyNumberFormat="1" applyFont="1" applyBorder="1"/>
    <xf numFmtId="164" fontId="2650" fillId="0" borderId="2874" xfId="0" applyNumberFormat="1" applyFont="1" applyBorder="1"/>
    <xf numFmtId="164" fontId="2731" fillId="0" borderId="2962" xfId="0" applyNumberFormat="1" applyFont="1" applyBorder="1"/>
    <xf numFmtId="164" fontId="2732" fillId="0" borderId="2963" xfId="0" applyNumberFormat="1" applyFont="1" applyBorder="1"/>
    <xf numFmtId="164" fontId="2733" fillId="0" borderId="2964" xfId="0" applyNumberFormat="1" applyFont="1" applyBorder="1"/>
    <xf numFmtId="164" fontId="2734" fillId="0" borderId="2965" xfId="0" applyNumberFormat="1" applyFont="1" applyBorder="1"/>
    <xf numFmtId="164" fontId="2735" fillId="0" borderId="2966" xfId="0" applyNumberFormat="1" applyFont="1" applyBorder="1"/>
    <xf numFmtId="164" fontId="2816" fillId="0" borderId="3054" xfId="0" applyNumberFormat="1" applyFont="1" applyBorder="1"/>
    <xf numFmtId="164" fontId="2817" fillId="0" borderId="3055" xfId="0" applyNumberFormat="1" applyFont="1" applyBorder="1"/>
    <xf numFmtId="164" fontId="2818" fillId="0" borderId="3056" xfId="0" applyNumberFormat="1" applyFont="1" applyBorder="1"/>
    <xf numFmtId="164" fontId="2891" fillId="0" borderId="3136" xfId="0" applyNumberFormat="1" applyFont="1" applyBorder="1"/>
    <xf numFmtId="164" fontId="2892" fillId="0" borderId="3137" xfId="0" applyNumberFormat="1" applyFont="1" applyBorder="1"/>
    <xf numFmtId="164" fontId="2893" fillId="0" borderId="3138" xfId="0" applyNumberFormat="1" applyFont="1" applyBorder="1"/>
    <xf numFmtId="164" fontId="2894" fillId="0" borderId="3139" xfId="0" applyNumberFormat="1" applyFont="1" applyBorder="1"/>
    <xf numFmtId="164" fontId="2895" fillId="0" borderId="3140" xfId="0" applyNumberFormat="1" applyFont="1" applyBorder="1"/>
    <xf numFmtId="164" fontId="2666" fillId="0" borderId="2890" xfId="0" applyNumberFormat="1" applyFont="1" applyBorder="1"/>
    <xf numFmtId="164" fontId="2667" fillId="0" borderId="2891" xfId="0" applyNumberFormat="1" applyFont="1" applyBorder="1"/>
    <xf numFmtId="164" fontId="2668" fillId="0" borderId="2892" xfId="0" applyNumberFormat="1" applyFont="1" applyBorder="1"/>
    <xf numFmtId="164" fontId="2669" fillId="0" borderId="2893" xfId="0" applyNumberFormat="1" applyFont="1" applyBorder="1"/>
    <xf numFmtId="164" fontId="2670" fillId="0" borderId="2894" xfId="0" applyNumberFormat="1" applyFont="1" applyBorder="1"/>
    <xf numFmtId="164" fontId="2751" fillId="0" borderId="2982" xfId="0" applyNumberFormat="1" applyFont="1" applyBorder="1"/>
    <xf numFmtId="164" fontId="2752" fillId="0" borderId="2983" xfId="0" applyNumberFormat="1" applyFont="1" applyBorder="1"/>
    <xf numFmtId="164" fontId="2753" fillId="0" borderId="2984" xfId="0" applyNumberFormat="1" applyFont="1" applyBorder="1"/>
    <xf numFmtId="164" fontId="2754" fillId="0" borderId="2985" xfId="0" applyNumberFormat="1" applyFont="1" applyBorder="1"/>
    <xf numFmtId="164" fontId="2755" fillId="0" borderId="2986" xfId="0" applyNumberFormat="1" applyFont="1" applyBorder="1"/>
    <xf numFmtId="164" fontId="2834" fillId="0" borderId="3072" xfId="0" applyNumberFormat="1" applyFont="1" applyBorder="1"/>
    <xf numFmtId="164" fontId="2835" fillId="0" borderId="3073" xfId="0" applyNumberFormat="1" applyFont="1" applyBorder="1"/>
    <xf numFmtId="164" fontId="2836" fillId="0" borderId="3074" xfId="0" applyNumberFormat="1" applyFont="1" applyBorder="1"/>
    <xf numFmtId="164" fontId="2911" fillId="0" borderId="3156" xfId="0" applyNumberFormat="1" applyFont="1" applyBorder="1"/>
    <xf numFmtId="164" fontId="2912" fillId="0" borderId="3157" xfId="0" applyNumberFormat="1" applyFont="1" applyBorder="1"/>
    <xf numFmtId="164" fontId="2913" fillId="0" borderId="3158" xfId="0" applyNumberFormat="1" applyFont="1" applyBorder="1"/>
    <xf numFmtId="164" fontId="2914" fillId="0" borderId="3159" xfId="0" applyNumberFormat="1" applyFont="1" applyBorder="1"/>
    <xf numFmtId="164" fontId="2915" fillId="0" borderId="3160" xfId="0" applyNumberFormat="1" applyFont="1" applyBorder="1"/>
    <xf numFmtId="164" fontId="2686" fillId="0" borderId="2910" xfId="0" applyNumberFormat="1" applyFont="1" applyBorder="1"/>
    <xf numFmtId="164" fontId="2687" fillId="0" borderId="2911" xfId="0" applyNumberFormat="1" applyFont="1" applyBorder="1"/>
    <xf numFmtId="164" fontId="2688" fillId="0" borderId="2912" xfId="0" applyNumberFormat="1" applyFont="1" applyBorder="1"/>
    <xf numFmtId="164" fontId="2689" fillId="0" borderId="2913" xfId="0" applyNumberFormat="1" applyFont="1" applyBorder="1"/>
    <xf numFmtId="164" fontId="2690" fillId="0" borderId="2914" xfId="0" applyNumberFormat="1" applyFont="1" applyBorder="1"/>
    <xf numFmtId="164" fontId="2771" fillId="0" borderId="3002" xfId="0" applyNumberFormat="1" applyFont="1" applyBorder="1"/>
    <xf numFmtId="164" fontId="2772" fillId="0" borderId="3003" xfId="0" applyNumberFormat="1" applyFont="1" applyBorder="1"/>
    <xf numFmtId="164" fontId="2773" fillId="0" borderId="3004" xfId="0" applyNumberFormat="1" applyFont="1" applyBorder="1"/>
    <xf numFmtId="164" fontId="2774" fillId="0" borderId="3005" xfId="0" applyNumberFormat="1" applyFont="1" applyBorder="1"/>
    <xf numFmtId="164" fontId="2775" fillId="0" borderId="3006" xfId="0" applyNumberFormat="1" applyFont="1" applyBorder="1"/>
    <xf numFmtId="164" fontId="2852" fillId="0" borderId="3090" xfId="0" applyNumberFormat="1" applyFont="1" applyBorder="1"/>
    <xf numFmtId="164" fontId="2853" fillId="0" borderId="3091" xfId="0" applyNumberFormat="1" applyFont="1" applyBorder="1"/>
    <xf numFmtId="164" fontId="2854" fillId="0" borderId="3092" xfId="0" applyNumberFormat="1" applyFont="1" applyBorder="1"/>
    <xf numFmtId="164" fontId="2931" fillId="0" borderId="3176" xfId="0" applyNumberFormat="1" applyFont="1" applyBorder="1"/>
    <xf numFmtId="164" fontId="2932" fillId="0" borderId="3177" xfId="0" applyNumberFormat="1" applyFont="1" applyBorder="1"/>
    <xf numFmtId="164" fontId="2933" fillId="0" borderId="3178" xfId="0" applyNumberFormat="1" applyFont="1" applyBorder="1"/>
    <xf numFmtId="164" fontId="2934" fillId="0" borderId="3179" xfId="0" applyNumberFormat="1" applyFont="1" applyBorder="1"/>
    <xf numFmtId="164" fontId="2935" fillId="0" borderId="3180" xfId="0" applyNumberFormat="1" applyFont="1" applyBorder="1"/>
    <xf numFmtId="164" fontId="2705" fillId="0" borderId="2929" xfId="0" applyNumberFormat="1" applyFont="1" applyBorder="1"/>
    <xf numFmtId="164" fontId="2706" fillId="0" borderId="2930" xfId="0" applyNumberFormat="1" applyFont="1" applyBorder="1"/>
    <xf numFmtId="164" fontId="2707" fillId="0" borderId="2931" xfId="0" applyNumberFormat="1" applyFont="1" applyBorder="1"/>
    <xf numFmtId="164" fontId="2708" fillId="0" borderId="2932" xfId="0" applyNumberFormat="1" applyFont="1" applyBorder="1"/>
    <xf numFmtId="164" fontId="2709" fillId="0" borderId="2933" xfId="0" applyNumberFormat="1" applyFont="1" applyBorder="1"/>
    <xf numFmtId="164" fontId="2790" fillId="0" borderId="3021" xfId="0" applyNumberFormat="1" applyFont="1" applyBorder="1"/>
    <xf numFmtId="164" fontId="2791" fillId="0" borderId="3022" xfId="0" applyNumberFormat="1" applyFont="1" applyBorder="1"/>
    <xf numFmtId="164" fontId="2792" fillId="0" borderId="3023" xfId="0" applyNumberFormat="1" applyFont="1" applyBorder="1"/>
    <xf numFmtId="164" fontId="2793" fillId="0" borderId="3024" xfId="0" applyNumberFormat="1" applyFont="1" applyBorder="1"/>
    <xf numFmtId="164" fontId="2794" fillId="0" borderId="3025" xfId="0" applyNumberFormat="1" applyFont="1" applyBorder="1"/>
    <xf numFmtId="164" fontId="2869" fillId="0" borderId="3107" xfId="0" applyNumberFormat="1" applyFont="1" applyBorder="1"/>
    <xf numFmtId="164" fontId="2870" fillId="0" borderId="3108" xfId="0" applyNumberFormat="1" applyFont="1" applyBorder="1"/>
    <xf numFmtId="164" fontId="2871" fillId="0" borderId="3109" xfId="0" applyNumberFormat="1" applyFont="1" applyBorder="1"/>
    <xf numFmtId="164" fontId="2950" fillId="0" borderId="3195" xfId="0" applyNumberFormat="1" applyFont="1" applyBorder="1"/>
    <xf numFmtId="164" fontId="2951" fillId="0" borderId="3196" xfId="0" applyNumberFormat="1" applyFont="1" applyBorder="1"/>
    <xf numFmtId="164" fontId="2952" fillId="0" borderId="3197" xfId="0" applyNumberFormat="1" applyFont="1" applyBorder="1"/>
    <xf numFmtId="164" fontId="2953" fillId="0" borderId="3198" xfId="0" applyNumberFormat="1" applyFont="1" applyBorder="1"/>
    <xf numFmtId="164" fontId="2954" fillId="0" borderId="3199" xfId="0" applyNumberFormat="1" applyFont="1" applyBorder="1"/>
    <xf numFmtId="164" fontId="2717" fillId="0" borderId="2948" xfId="0" applyNumberFormat="1" applyFont="1" applyBorder="1"/>
    <xf numFmtId="164" fontId="2718" fillId="0" borderId="2949" xfId="0" applyNumberFormat="1" applyFont="1" applyBorder="1"/>
    <xf numFmtId="164" fontId="2719" fillId="0" borderId="2950" xfId="0" applyNumberFormat="1" applyFont="1" applyBorder="1"/>
    <xf numFmtId="164" fontId="2720" fillId="0" borderId="2951" xfId="0" applyNumberFormat="1" applyFont="1" applyBorder="1"/>
    <xf numFmtId="164" fontId="2721" fillId="0" borderId="2952" xfId="0" applyNumberFormat="1" applyFont="1" applyBorder="1"/>
    <xf numFmtId="164" fontId="2802" fillId="0" borderId="3040" xfId="0" applyNumberFormat="1" applyFont="1" applyBorder="1"/>
    <xf numFmtId="164" fontId="2803" fillId="0" borderId="3041" xfId="0" applyNumberFormat="1" applyFont="1" applyBorder="1"/>
    <xf numFmtId="164" fontId="2804" fillId="0" borderId="3042" xfId="0" applyNumberFormat="1" applyFont="1" applyBorder="1"/>
    <xf numFmtId="164" fontId="2805" fillId="0" borderId="3043" xfId="0" applyNumberFormat="1" applyFont="1" applyBorder="1"/>
    <xf numFmtId="164" fontId="2806" fillId="0" borderId="3044" xfId="0" applyNumberFormat="1" applyFont="1" applyBorder="1"/>
    <xf numFmtId="164" fontId="2879" fillId="0" borderId="3124" xfId="0" applyNumberFormat="1" applyFont="1" applyBorder="1"/>
    <xf numFmtId="164" fontId="2880" fillId="0" borderId="3125" xfId="0" applyNumberFormat="1" applyFont="1" applyBorder="1"/>
    <xf numFmtId="164" fontId="2881" fillId="0" borderId="3126" xfId="0" applyNumberFormat="1" applyFont="1" applyBorder="1"/>
    <xf numFmtId="164" fontId="2962" fillId="0" borderId="3214" xfId="0" applyNumberFormat="1" applyFont="1" applyBorder="1"/>
    <xf numFmtId="164" fontId="2963" fillId="0" borderId="3215" xfId="0" applyNumberFormat="1" applyFont="1" applyBorder="1"/>
    <xf numFmtId="164" fontId="2964" fillId="0" borderId="3216" xfId="0" applyNumberFormat="1" applyFont="1" applyBorder="1"/>
    <xf numFmtId="164" fontId="2965" fillId="0" borderId="3217" xfId="0" applyNumberFormat="1" applyFont="1" applyBorder="1"/>
    <xf numFmtId="164" fontId="2966" fillId="0" borderId="3218" xfId="0" applyNumberFormat="1" applyFont="1" applyBorder="1"/>
    <xf numFmtId="164" fontId="5179" fillId="0" borderId="5515" xfId="0" applyNumberFormat="1" applyFont="1" applyBorder="1"/>
    <xf numFmtId="164" fontId="5180" fillId="0" borderId="5516" xfId="0" applyNumberFormat="1" applyFont="1" applyBorder="1"/>
    <xf numFmtId="164" fontId="5181" fillId="0" borderId="5517" xfId="0" applyNumberFormat="1" applyFont="1" applyBorder="1"/>
    <xf numFmtId="164" fontId="5182" fillId="0" borderId="5518" xfId="0" applyNumberFormat="1" applyFont="1" applyBorder="1"/>
    <xf numFmtId="164" fontId="5183" fillId="0" borderId="5519" xfId="0" applyNumberFormat="1" applyFont="1" applyBorder="1"/>
    <xf numFmtId="164" fontId="5218" fillId="0" borderId="5554" xfId="0" applyNumberFormat="1" applyFont="1" applyBorder="1"/>
    <xf numFmtId="164" fontId="5219" fillId="0" borderId="5555" xfId="0" applyNumberFormat="1" applyFont="1" applyBorder="1"/>
    <xf numFmtId="164" fontId="5220" fillId="0" borderId="5556" xfId="0" applyNumberFormat="1" applyFont="1" applyBorder="1"/>
    <xf numFmtId="164" fontId="5221" fillId="0" borderId="5557" xfId="0" applyNumberFormat="1" applyFont="1" applyBorder="1"/>
    <xf numFmtId="164" fontId="5222" fillId="0" borderId="5558" xfId="0" applyNumberFormat="1" applyFont="1" applyBorder="1"/>
    <xf numFmtId="164" fontId="5257" fillId="0" borderId="5593" xfId="0" applyNumberFormat="1" applyFont="1" applyBorder="1"/>
    <xf numFmtId="164" fontId="5258" fillId="0" borderId="5594" xfId="0" applyNumberFormat="1" applyFont="1" applyBorder="1"/>
    <xf numFmtId="164" fontId="5259" fillId="0" borderId="5595" xfId="0" applyNumberFormat="1" applyFont="1" applyBorder="1"/>
    <xf numFmtId="164" fontId="5292" fillId="0" borderId="5628" xfId="0" applyNumberFormat="1" applyFont="1" applyBorder="1"/>
    <xf numFmtId="164" fontId="5293" fillId="0" borderId="5629" xfId="0" applyNumberFormat="1" applyFont="1" applyBorder="1"/>
    <xf numFmtId="164" fontId="5294" fillId="0" borderId="5630" xfId="0" applyNumberFormat="1" applyFont="1" applyBorder="1"/>
    <xf numFmtId="164" fontId="5295" fillId="0" borderId="5631" xfId="0" applyNumberFormat="1" applyFont="1" applyBorder="1"/>
    <xf numFmtId="164" fontId="5296" fillId="0" borderId="5632" xfId="0" applyNumberFormat="1" applyFont="1" applyBorder="1"/>
    <xf numFmtId="164" fontId="5197" fillId="0" borderId="5533" xfId="0" applyNumberFormat="1" applyFont="1" applyBorder="1"/>
    <xf numFmtId="164" fontId="5198" fillId="0" borderId="5534" xfId="0" applyNumberFormat="1" applyFont="1" applyBorder="1"/>
    <xf numFmtId="164" fontId="5199" fillId="0" borderId="5535" xfId="0" applyNumberFormat="1" applyFont="1" applyBorder="1"/>
    <xf numFmtId="164" fontId="5200" fillId="0" borderId="5536" xfId="0" applyNumberFormat="1" applyFont="1" applyBorder="1"/>
    <xf numFmtId="164" fontId="5201" fillId="0" borderId="5537" xfId="0" applyNumberFormat="1" applyFont="1" applyBorder="1"/>
    <xf numFmtId="164" fontId="5236" fillId="0" borderId="5572" xfId="0" applyNumberFormat="1" applyFont="1" applyBorder="1"/>
    <xf numFmtId="164" fontId="5237" fillId="0" borderId="5573" xfId="0" applyNumberFormat="1" applyFont="1" applyBorder="1"/>
    <xf numFmtId="164" fontId="5238" fillId="0" borderId="5574" xfId="0" applyNumberFormat="1" applyFont="1" applyBorder="1"/>
    <xf numFmtId="164" fontId="5239" fillId="0" borderId="5575" xfId="0" applyNumberFormat="1" applyFont="1" applyBorder="1"/>
    <xf numFmtId="164" fontId="5240" fillId="0" borderId="5576" xfId="0" applyNumberFormat="1" applyFont="1" applyBorder="1"/>
    <xf numFmtId="164" fontId="5273" fillId="0" borderId="5609" xfId="0" applyNumberFormat="1" applyFont="1" applyBorder="1"/>
    <xf numFmtId="164" fontId="5274" fillId="0" borderId="5610" xfId="0" applyNumberFormat="1" applyFont="1" applyBorder="1"/>
    <xf numFmtId="164" fontId="5275" fillId="0" borderId="5611" xfId="0" applyNumberFormat="1" applyFont="1" applyBorder="1"/>
    <xf numFmtId="164" fontId="5310" fillId="0" borderId="5646" xfId="0" applyNumberFormat="1" applyFont="1" applyBorder="1"/>
    <xf numFmtId="164" fontId="5311" fillId="0" borderId="5647" xfId="0" applyNumberFormat="1" applyFont="1" applyBorder="1"/>
    <xf numFmtId="164" fontId="5312" fillId="0" borderId="5648" xfId="0" applyNumberFormat="1" applyFont="1" applyBorder="1"/>
    <xf numFmtId="164" fontId="5313" fillId="0" borderId="5649" xfId="0" applyNumberFormat="1" applyFont="1" applyBorder="1"/>
    <xf numFmtId="164" fontId="5314" fillId="0" borderId="5650" xfId="0" applyNumberFormat="1" applyFont="1" applyBorder="1"/>
    <xf numFmtId="164" fontId="2316" fillId="0" borderId="2512" xfId="0" applyNumberFormat="1" applyFont="1" applyBorder="1"/>
    <xf numFmtId="164" fontId="2317" fillId="0" borderId="2513" xfId="0" applyNumberFormat="1" applyFont="1" applyBorder="1"/>
    <xf numFmtId="164" fontId="2318" fillId="0" borderId="2514" xfId="0" applyNumberFormat="1" applyFont="1" applyBorder="1"/>
    <xf numFmtId="164" fontId="2319" fillId="0" borderId="2515" xfId="0" applyNumberFormat="1" applyFont="1" applyBorder="1"/>
    <xf numFmtId="164" fontId="2320" fillId="0" borderId="2516" xfId="0" applyNumberFormat="1" applyFont="1" applyBorder="1"/>
    <xf numFmtId="164" fontId="2401" fillId="0" borderId="2604" xfId="0" applyNumberFormat="1" applyFont="1" applyBorder="1"/>
    <xf numFmtId="164" fontId="2402" fillId="0" borderId="2605" xfId="0" applyNumberFormat="1" applyFont="1" applyBorder="1"/>
    <xf numFmtId="164" fontId="2403" fillId="0" borderId="2606" xfId="0" applyNumberFormat="1" applyFont="1" applyBorder="1"/>
    <xf numFmtId="164" fontId="2404" fillId="0" borderId="2607" xfId="0" applyNumberFormat="1" applyFont="1" applyBorder="1"/>
    <xf numFmtId="164" fontId="2405" fillId="0" borderId="2608" xfId="0" applyNumberFormat="1" applyFont="1" applyBorder="1"/>
    <xf numFmtId="164" fontId="2486" fillId="0" borderId="2696" xfId="0" applyNumberFormat="1" applyFont="1" applyBorder="1"/>
    <xf numFmtId="164" fontId="2487" fillId="0" borderId="2697" xfId="0" applyNumberFormat="1" applyFont="1" applyBorder="1"/>
    <xf numFmtId="164" fontId="2488" fillId="0" borderId="2698" xfId="0" applyNumberFormat="1" applyFont="1" applyBorder="1"/>
    <xf numFmtId="164" fontId="2561" fillId="0" borderId="2778" xfId="0" applyNumberFormat="1" applyFont="1" applyBorder="1"/>
    <xf numFmtId="164" fontId="2562" fillId="0" borderId="2779" xfId="0" applyNumberFormat="1" applyFont="1" applyBorder="1"/>
    <xf numFmtId="164" fontId="2563" fillId="0" borderId="2780" xfId="0" applyNumberFormat="1" applyFont="1" applyBorder="1"/>
    <xf numFmtId="164" fontId="2564" fillId="0" borderId="2781" xfId="0" applyNumberFormat="1" applyFont="1" applyBorder="1"/>
    <xf numFmtId="164" fontId="2565" fillId="0" borderId="2782" xfId="0" applyNumberFormat="1" applyFont="1" applyBorder="1"/>
    <xf numFmtId="164" fontId="2336" fillId="0" borderId="2532" xfId="0" applyNumberFormat="1" applyFont="1" applyBorder="1"/>
    <xf numFmtId="164" fontId="2337" fillId="0" borderId="2533" xfId="0" applyNumberFormat="1" applyFont="1" applyBorder="1"/>
    <xf numFmtId="164" fontId="2338" fillId="0" borderId="2534" xfId="0" applyNumberFormat="1" applyFont="1" applyBorder="1"/>
    <xf numFmtId="164" fontId="2339" fillId="0" borderId="2535" xfId="0" applyNumberFormat="1" applyFont="1" applyBorder="1"/>
    <xf numFmtId="164" fontId="2340" fillId="0" borderId="2536" xfId="0" applyNumberFormat="1" applyFont="1" applyBorder="1"/>
    <xf numFmtId="164" fontId="2421" fillId="0" borderId="2624" xfId="0" applyNumberFormat="1" applyFont="1" applyBorder="1"/>
    <xf numFmtId="164" fontId="2422" fillId="0" borderId="2625" xfId="0" applyNumberFormat="1" applyFont="1" applyBorder="1"/>
    <xf numFmtId="164" fontId="2423" fillId="0" borderId="2626" xfId="0" applyNumberFormat="1" applyFont="1" applyBorder="1"/>
    <xf numFmtId="164" fontId="2424" fillId="0" borderId="2627" xfId="0" applyNumberFormat="1" applyFont="1" applyBorder="1"/>
    <xf numFmtId="164" fontId="2425" fillId="0" borderId="2628" xfId="0" applyNumberFormat="1" applyFont="1" applyBorder="1"/>
    <xf numFmtId="164" fontId="2504" fillId="0" borderId="2714" xfId="0" applyNumberFormat="1" applyFont="1" applyBorder="1"/>
    <xf numFmtId="164" fontId="2505" fillId="0" borderId="2715" xfId="0" applyNumberFormat="1" applyFont="1" applyBorder="1"/>
    <xf numFmtId="164" fontId="2506" fillId="0" borderId="2716" xfId="0" applyNumberFormat="1" applyFont="1" applyBorder="1"/>
    <xf numFmtId="164" fontId="2581" fillId="0" borderId="2798" xfId="0" applyNumberFormat="1" applyFont="1" applyBorder="1"/>
    <xf numFmtId="164" fontId="2582" fillId="0" borderId="2799" xfId="0" applyNumberFormat="1" applyFont="1" applyBorder="1"/>
    <xf numFmtId="164" fontId="2583" fillId="0" borderId="2800" xfId="0" applyNumberFormat="1" applyFont="1" applyBorder="1"/>
    <xf numFmtId="164" fontId="2584" fillId="0" borderId="2801" xfId="0" applyNumberFormat="1" applyFont="1" applyBorder="1"/>
    <xf numFmtId="164" fontId="2585" fillId="0" borderId="2802" xfId="0" applyNumberFormat="1" applyFont="1" applyBorder="1"/>
    <xf numFmtId="164" fontId="2356" fillId="0" borderId="2552" xfId="0" applyNumberFormat="1" applyFont="1" applyBorder="1"/>
    <xf numFmtId="164" fontId="2357" fillId="0" borderId="2553" xfId="0" applyNumberFormat="1" applyFont="1" applyBorder="1"/>
    <xf numFmtId="164" fontId="2358" fillId="0" borderId="2554" xfId="0" applyNumberFormat="1" applyFont="1" applyBorder="1"/>
    <xf numFmtId="164" fontId="2359" fillId="0" borderId="2555" xfId="0" applyNumberFormat="1" applyFont="1" applyBorder="1"/>
    <xf numFmtId="164" fontId="2360" fillId="0" borderId="2556" xfId="0" applyNumberFormat="1" applyFont="1" applyBorder="1"/>
    <xf numFmtId="164" fontId="2441" fillId="0" borderId="2644" xfId="0" applyNumberFormat="1" applyFont="1" applyBorder="1"/>
    <xf numFmtId="164" fontId="2442" fillId="0" borderId="2645" xfId="0" applyNumberFormat="1" applyFont="1" applyBorder="1"/>
    <xf numFmtId="164" fontId="2443" fillId="0" borderId="2646" xfId="0" applyNumberFormat="1" applyFont="1" applyBorder="1"/>
    <xf numFmtId="164" fontId="2444" fillId="0" borderId="2647" xfId="0" applyNumberFormat="1" applyFont="1" applyBorder="1"/>
    <xf numFmtId="164" fontId="2445" fillId="0" borderId="2648" xfId="0" applyNumberFormat="1" applyFont="1" applyBorder="1"/>
    <xf numFmtId="164" fontId="2522" fillId="0" borderId="2732" xfId="0" applyNumberFormat="1" applyFont="1" applyBorder="1"/>
    <xf numFmtId="164" fontId="2523" fillId="0" borderId="2733" xfId="0" applyNumberFormat="1" applyFont="1" applyBorder="1"/>
    <xf numFmtId="164" fontId="2524" fillId="0" borderId="2734" xfId="0" applyNumberFormat="1" applyFont="1" applyBorder="1"/>
    <xf numFmtId="164" fontId="2601" fillId="0" borderId="2818" xfId="0" applyNumberFormat="1" applyFont="1" applyBorder="1"/>
    <xf numFmtId="164" fontId="2602" fillId="0" borderId="2819" xfId="0" applyNumberFormat="1" applyFont="1" applyBorder="1"/>
    <xf numFmtId="164" fontId="2603" fillId="0" borderId="2820" xfId="0" applyNumberFormat="1" applyFont="1" applyBorder="1"/>
    <xf numFmtId="164" fontId="2604" fillId="0" borderId="2821" xfId="0" applyNumberFormat="1" applyFont="1" applyBorder="1"/>
    <xf numFmtId="164" fontId="2605" fillId="0" borderId="2822" xfId="0" applyNumberFormat="1" applyFont="1" applyBorder="1"/>
    <xf numFmtId="164" fontId="2375" fillId="0" borderId="2571" xfId="0" applyNumberFormat="1" applyFont="1" applyBorder="1"/>
    <xf numFmtId="164" fontId="2376" fillId="0" borderId="2572" xfId="0" applyNumberFormat="1" applyFont="1" applyBorder="1"/>
    <xf numFmtId="164" fontId="2377" fillId="0" borderId="2573" xfId="0" applyNumberFormat="1" applyFont="1" applyBorder="1"/>
    <xf numFmtId="164" fontId="2378" fillId="0" borderId="2574" xfId="0" applyNumberFormat="1" applyFont="1" applyBorder="1"/>
    <xf numFmtId="164" fontId="2379" fillId="0" borderId="2575" xfId="0" applyNumberFormat="1" applyFont="1" applyBorder="1"/>
    <xf numFmtId="164" fontId="2460" fillId="0" borderId="2663" xfId="0" applyNumberFormat="1" applyFont="1" applyBorder="1"/>
    <xf numFmtId="164" fontId="2461" fillId="0" borderId="2664" xfId="0" applyNumberFormat="1" applyFont="1" applyBorder="1"/>
    <xf numFmtId="164" fontId="2462" fillId="0" borderId="2665" xfId="0" applyNumberFormat="1" applyFont="1" applyBorder="1"/>
    <xf numFmtId="164" fontId="2463" fillId="0" borderId="2666" xfId="0" applyNumberFormat="1" applyFont="1" applyBorder="1"/>
    <xf numFmtId="164" fontId="2464" fillId="0" borderId="2667" xfId="0" applyNumberFormat="1" applyFont="1" applyBorder="1"/>
    <xf numFmtId="164" fontId="2539" fillId="0" borderId="2749" xfId="0" applyNumberFormat="1" applyFont="1" applyBorder="1"/>
    <xf numFmtId="164" fontId="2540" fillId="0" borderId="2750" xfId="0" applyNumberFormat="1" applyFont="1" applyBorder="1"/>
    <xf numFmtId="164" fontId="2541" fillId="0" borderId="2751" xfId="0" applyNumberFormat="1" applyFont="1" applyBorder="1"/>
    <xf numFmtId="164" fontId="2620" fillId="0" borderId="2837" xfId="0" applyNumberFormat="1" applyFont="1" applyBorder="1"/>
    <xf numFmtId="164" fontId="2621" fillId="0" borderId="2838" xfId="0" applyNumberFormat="1" applyFont="1" applyBorder="1"/>
    <xf numFmtId="164" fontId="2622" fillId="0" borderId="2839" xfId="0" applyNumberFormat="1" applyFont="1" applyBorder="1"/>
    <xf numFmtId="164" fontId="2623" fillId="0" borderId="2840" xfId="0" applyNumberFormat="1" applyFont="1" applyBorder="1"/>
    <xf numFmtId="164" fontId="2624" fillId="0" borderId="2841" xfId="0" applyNumberFormat="1" applyFont="1" applyBorder="1"/>
    <xf numFmtId="164" fontId="2387" fillId="0" borderId="2590" xfId="0" applyNumberFormat="1" applyFont="1" applyBorder="1"/>
    <xf numFmtId="164" fontId="2388" fillId="0" borderId="2591" xfId="0" applyNumberFormat="1" applyFont="1" applyBorder="1"/>
    <xf numFmtId="164" fontId="2389" fillId="0" borderId="2592" xfId="0" applyNumberFormat="1" applyFont="1" applyBorder="1"/>
    <xf numFmtId="164" fontId="2390" fillId="0" borderId="2593" xfId="0" applyNumberFormat="1" applyFont="1" applyBorder="1"/>
    <xf numFmtId="164" fontId="2391" fillId="0" borderId="2594" xfId="0" applyNumberFormat="1" applyFont="1" applyBorder="1"/>
    <xf numFmtId="164" fontId="2472" fillId="0" borderId="2682" xfId="0" applyNumberFormat="1" applyFont="1" applyBorder="1"/>
    <xf numFmtId="164" fontId="2473" fillId="0" borderId="2683" xfId="0" applyNumberFormat="1" applyFont="1" applyBorder="1"/>
    <xf numFmtId="164" fontId="2474" fillId="0" borderId="2684" xfId="0" applyNumberFormat="1" applyFont="1" applyBorder="1"/>
    <xf numFmtId="164" fontId="2475" fillId="0" borderId="2685" xfId="0" applyNumberFormat="1" applyFont="1" applyBorder="1"/>
    <xf numFmtId="164" fontId="2476" fillId="0" borderId="2686" xfId="0" applyNumberFormat="1" applyFont="1" applyBorder="1"/>
    <xf numFmtId="164" fontId="2549" fillId="0" borderId="2766" xfId="0" applyNumberFormat="1" applyFont="1" applyBorder="1"/>
    <xf numFmtId="164" fontId="2550" fillId="0" borderId="2767" xfId="0" applyNumberFormat="1" applyFont="1" applyBorder="1"/>
    <xf numFmtId="164" fontId="2551" fillId="0" borderId="2768" xfId="0" applyNumberFormat="1" applyFont="1" applyBorder="1"/>
    <xf numFmtId="164" fontId="2632" fillId="0" borderId="2856" xfId="0" applyNumberFormat="1" applyFont="1" applyBorder="1"/>
    <xf numFmtId="164" fontId="2633" fillId="0" borderId="2857" xfId="0" applyNumberFormat="1" applyFont="1" applyBorder="1"/>
    <xf numFmtId="164" fontId="2634" fillId="0" borderId="2858" xfId="0" applyNumberFormat="1" applyFont="1" applyBorder="1"/>
    <xf numFmtId="164" fontId="2635" fillId="0" borderId="2859" xfId="0" applyNumberFormat="1" applyFont="1" applyBorder="1"/>
    <xf numFmtId="164" fontId="2636" fillId="0" borderId="2860" xfId="0" applyNumberFormat="1" applyFont="1" applyBorder="1"/>
    <xf numFmtId="164" fontId="5027" fillId="0" borderId="5363" xfId="0" applyNumberFormat="1" applyFont="1" applyBorder="1"/>
    <xf numFmtId="164" fontId="5028" fillId="0" borderId="5364" xfId="0" applyNumberFormat="1" applyFont="1" applyBorder="1"/>
    <xf numFmtId="164" fontId="5029" fillId="0" borderId="5365" xfId="0" applyNumberFormat="1" applyFont="1" applyBorder="1"/>
    <xf numFmtId="164" fontId="5030" fillId="0" borderId="5366" xfId="0" applyNumberFormat="1" applyFont="1" applyBorder="1"/>
    <xf numFmtId="164" fontId="5031" fillId="0" borderId="5367" xfId="0" applyNumberFormat="1" applyFont="1" applyBorder="1"/>
    <xf numFmtId="164" fontId="5066" fillId="0" borderId="5402" xfId="0" applyNumberFormat="1" applyFont="1" applyBorder="1"/>
    <xf numFmtId="164" fontId="5067" fillId="0" borderId="5403" xfId="0" applyNumberFormat="1" applyFont="1" applyBorder="1"/>
    <xf numFmtId="164" fontId="5068" fillId="0" borderId="5404" xfId="0" applyNumberFormat="1" applyFont="1" applyBorder="1"/>
    <xf numFmtId="164" fontId="5069" fillId="0" borderId="5405" xfId="0" applyNumberFormat="1" applyFont="1" applyBorder="1"/>
    <xf numFmtId="164" fontId="5070" fillId="0" borderId="5406" xfId="0" applyNumberFormat="1" applyFont="1" applyBorder="1"/>
    <xf numFmtId="164" fontId="5105" fillId="0" borderId="5441" xfId="0" applyNumberFormat="1" applyFont="1" applyBorder="1"/>
    <xf numFmtId="164" fontId="5106" fillId="0" borderId="5442" xfId="0" applyNumberFormat="1" applyFont="1" applyBorder="1"/>
    <xf numFmtId="164" fontId="5107" fillId="0" borderId="5443" xfId="0" applyNumberFormat="1" applyFont="1" applyBorder="1"/>
    <xf numFmtId="164" fontId="5140" fillId="0" borderId="5476" xfId="0" applyNumberFormat="1" applyFont="1" applyBorder="1"/>
    <xf numFmtId="164" fontId="5141" fillId="0" borderId="5477" xfId="0" applyNumberFormat="1" applyFont="1" applyBorder="1"/>
    <xf numFmtId="164" fontId="5142" fillId="0" borderId="5478" xfId="0" applyNumberFormat="1" applyFont="1" applyBorder="1"/>
    <xf numFmtId="164" fontId="5143" fillId="0" borderId="5479" xfId="0" applyNumberFormat="1" applyFont="1" applyBorder="1"/>
    <xf numFmtId="164" fontId="5144" fillId="0" borderId="5480" xfId="0" applyNumberFormat="1" applyFont="1" applyBorder="1"/>
    <xf numFmtId="164" fontId="5045" fillId="0" borderId="5381" xfId="0" applyNumberFormat="1" applyFont="1" applyBorder="1"/>
    <xf numFmtId="164" fontId="5046" fillId="0" borderId="5382" xfId="0" applyNumberFormat="1" applyFont="1" applyBorder="1"/>
    <xf numFmtId="164" fontId="5047" fillId="0" borderId="5383" xfId="0" applyNumberFormat="1" applyFont="1" applyBorder="1"/>
    <xf numFmtId="164" fontId="5048" fillId="0" borderId="5384" xfId="0" applyNumberFormat="1" applyFont="1" applyBorder="1"/>
    <xf numFmtId="164" fontId="5049" fillId="0" borderId="5385" xfId="0" applyNumberFormat="1" applyFont="1" applyBorder="1"/>
    <xf numFmtId="164" fontId="5084" fillId="0" borderId="5420" xfId="0" applyNumberFormat="1" applyFont="1" applyBorder="1"/>
    <xf numFmtId="164" fontId="5085" fillId="0" borderId="5421" xfId="0" applyNumberFormat="1" applyFont="1" applyBorder="1"/>
    <xf numFmtId="164" fontId="5086" fillId="0" borderId="5422" xfId="0" applyNumberFormat="1" applyFont="1" applyBorder="1"/>
    <xf numFmtId="164" fontId="5087" fillId="0" borderId="5423" xfId="0" applyNumberFormat="1" applyFont="1" applyBorder="1"/>
    <xf numFmtId="164" fontId="5088" fillId="0" borderId="5424" xfId="0" applyNumberFormat="1" applyFont="1" applyBorder="1"/>
    <xf numFmtId="164" fontId="5121" fillId="0" borderId="5457" xfId="0" applyNumberFormat="1" applyFont="1" applyBorder="1"/>
    <xf numFmtId="164" fontId="5122" fillId="0" borderId="5458" xfId="0" applyNumberFormat="1" applyFont="1" applyBorder="1"/>
    <xf numFmtId="164" fontId="5123" fillId="0" borderId="5459" xfId="0" applyNumberFormat="1" applyFont="1" applyBorder="1"/>
    <xf numFmtId="164" fontId="5158" fillId="0" borderId="5494" xfId="0" applyNumberFormat="1" applyFont="1" applyBorder="1"/>
    <xf numFmtId="164" fontId="5159" fillId="0" borderId="5495" xfId="0" applyNumberFormat="1" applyFont="1" applyBorder="1"/>
    <xf numFmtId="164" fontId="5160" fillId="0" borderId="5496" xfId="0" applyNumberFormat="1" applyFont="1" applyBorder="1"/>
    <xf numFmtId="164" fontId="5161" fillId="0" borderId="5497" xfId="0" applyNumberFormat="1" applyFont="1" applyBorder="1"/>
    <xf numFmtId="164" fontId="5162" fillId="0" borderId="5498" xfId="0" applyNumberFormat="1" applyFont="1" applyBorder="1"/>
    <xf numFmtId="164" fontId="1986" fillId="0" borderId="2154" xfId="0" applyNumberFormat="1" applyFont="1" applyBorder="1"/>
    <xf numFmtId="164" fontId="1987" fillId="0" borderId="2155" xfId="0" applyNumberFormat="1" applyFont="1" applyBorder="1"/>
    <xf numFmtId="164" fontId="1988" fillId="0" borderId="2156" xfId="0" applyNumberFormat="1" applyFont="1" applyBorder="1"/>
    <xf numFmtId="164" fontId="1989" fillId="0" borderId="2157" xfId="0" applyNumberFormat="1" applyFont="1" applyBorder="1"/>
    <xf numFmtId="164" fontId="1990" fillId="0" borderId="2158" xfId="0" applyNumberFormat="1" applyFont="1" applyBorder="1"/>
    <xf numFmtId="164" fontId="2071" fillId="0" borderId="2246" xfId="0" applyNumberFormat="1" applyFont="1" applyBorder="1"/>
    <xf numFmtId="164" fontId="2072" fillId="0" borderId="2247" xfId="0" applyNumberFormat="1" applyFont="1" applyBorder="1"/>
    <xf numFmtId="164" fontId="2073" fillId="0" borderId="2248" xfId="0" applyNumberFormat="1" applyFont="1" applyBorder="1"/>
    <xf numFmtId="164" fontId="2074" fillId="0" borderId="2249" xfId="0" applyNumberFormat="1" applyFont="1" applyBorder="1"/>
    <xf numFmtId="164" fontId="2075" fillId="0" borderId="2250" xfId="0" applyNumberFormat="1" applyFont="1" applyBorder="1"/>
    <xf numFmtId="164" fontId="2156" fillId="0" borderId="2338" xfId="0" applyNumberFormat="1" applyFont="1" applyBorder="1"/>
    <xf numFmtId="164" fontId="2157" fillId="0" borderId="2339" xfId="0" applyNumberFormat="1" applyFont="1" applyBorder="1"/>
    <xf numFmtId="164" fontId="2158" fillId="0" borderId="2340" xfId="0" applyNumberFormat="1" applyFont="1" applyBorder="1"/>
    <xf numFmtId="164" fontId="2231" fillId="0" borderId="2420" xfId="0" applyNumberFormat="1" applyFont="1" applyBorder="1"/>
    <xf numFmtId="164" fontId="2232" fillId="0" borderId="2421" xfId="0" applyNumberFormat="1" applyFont="1" applyBorder="1"/>
    <xf numFmtId="164" fontId="2233" fillId="0" borderId="2422" xfId="0" applyNumberFormat="1" applyFont="1" applyBorder="1"/>
    <xf numFmtId="164" fontId="2234" fillId="0" borderId="2423" xfId="0" applyNumberFormat="1" applyFont="1" applyBorder="1"/>
    <xf numFmtId="164" fontId="2235" fillId="0" borderId="2424" xfId="0" applyNumberFormat="1" applyFont="1" applyBorder="1"/>
    <xf numFmtId="164" fontId="2006" fillId="0" borderId="2174" xfId="0" applyNumberFormat="1" applyFont="1" applyBorder="1"/>
    <xf numFmtId="164" fontId="2007" fillId="0" borderId="2175" xfId="0" applyNumberFormat="1" applyFont="1" applyBorder="1"/>
    <xf numFmtId="164" fontId="2008" fillId="0" borderId="2176" xfId="0" applyNumberFormat="1" applyFont="1" applyBorder="1"/>
    <xf numFmtId="164" fontId="2009" fillId="0" borderId="2177" xfId="0" applyNumberFormat="1" applyFont="1" applyBorder="1"/>
    <xf numFmtId="164" fontId="2010" fillId="0" borderId="2178" xfId="0" applyNumberFormat="1" applyFont="1" applyBorder="1"/>
    <xf numFmtId="164" fontId="2091" fillId="0" borderId="2266" xfId="0" applyNumberFormat="1" applyFont="1" applyBorder="1"/>
    <xf numFmtId="164" fontId="2092" fillId="0" borderId="2267" xfId="0" applyNumberFormat="1" applyFont="1" applyBorder="1"/>
    <xf numFmtId="164" fontId="2093" fillId="0" borderId="2268" xfId="0" applyNumberFormat="1" applyFont="1" applyBorder="1"/>
    <xf numFmtId="164" fontId="2094" fillId="0" borderId="2269" xfId="0" applyNumberFormat="1" applyFont="1" applyBorder="1"/>
    <xf numFmtId="164" fontId="2095" fillId="0" borderId="2270" xfId="0" applyNumberFormat="1" applyFont="1" applyBorder="1"/>
    <xf numFmtId="164" fontId="2174" fillId="0" borderId="2356" xfId="0" applyNumberFormat="1" applyFont="1" applyBorder="1"/>
    <xf numFmtId="164" fontId="2175" fillId="0" borderId="2357" xfId="0" applyNumberFormat="1" applyFont="1" applyBorder="1"/>
    <xf numFmtId="164" fontId="2176" fillId="0" borderId="2358" xfId="0" applyNumberFormat="1" applyFont="1" applyBorder="1"/>
    <xf numFmtId="164" fontId="2251" fillId="0" borderId="2440" xfId="0" applyNumberFormat="1" applyFont="1" applyBorder="1"/>
    <xf numFmtId="164" fontId="2252" fillId="0" borderId="2441" xfId="0" applyNumberFormat="1" applyFont="1" applyBorder="1"/>
    <xf numFmtId="164" fontId="2253" fillId="0" borderId="2442" xfId="0" applyNumberFormat="1" applyFont="1" applyBorder="1"/>
    <xf numFmtId="164" fontId="2254" fillId="0" borderId="2443" xfId="0" applyNumberFormat="1" applyFont="1" applyBorder="1"/>
    <xf numFmtId="164" fontId="2255" fillId="0" borderId="2444" xfId="0" applyNumberFormat="1" applyFont="1" applyBorder="1"/>
    <xf numFmtId="164" fontId="2026" fillId="0" borderId="2194" xfId="0" applyNumberFormat="1" applyFont="1" applyBorder="1"/>
    <xf numFmtId="164" fontId="2027" fillId="0" borderId="2195" xfId="0" applyNumberFormat="1" applyFont="1" applyBorder="1"/>
    <xf numFmtId="164" fontId="2028" fillId="0" borderId="2196" xfId="0" applyNumberFormat="1" applyFont="1" applyBorder="1"/>
    <xf numFmtId="164" fontId="2029" fillId="0" borderId="2197" xfId="0" applyNumberFormat="1" applyFont="1" applyBorder="1"/>
    <xf numFmtId="164" fontId="2030" fillId="0" borderId="2198" xfId="0" applyNumberFormat="1" applyFont="1" applyBorder="1"/>
    <xf numFmtId="164" fontId="2111" fillId="0" borderId="2286" xfId="0" applyNumberFormat="1" applyFont="1" applyBorder="1"/>
    <xf numFmtId="164" fontId="2112" fillId="0" borderId="2287" xfId="0" applyNumberFormat="1" applyFont="1" applyBorder="1"/>
    <xf numFmtId="164" fontId="2113" fillId="0" borderId="2288" xfId="0" applyNumberFormat="1" applyFont="1" applyBorder="1"/>
    <xf numFmtId="164" fontId="2114" fillId="0" borderId="2289" xfId="0" applyNumberFormat="1" applyFont="1" applyBorder="1"/>
    <xf numFmtId="164" fontId="2115" fillId="0" borderId="2290" xfId="0" applyNumberFormat="1" applyFont="1" applyBorder="1"/>
    <xf numFmtId="164" fontId="2192" fillId="0" borderId="2374" xfId="0" applyNumberFormat="1" applyFont="1" applyBorder="1"/>
    <xf numFmtId="164" fontId="2193" fillId="0" borderId="2375" xfId="0" applyNumberFormat="1" applyFont="1" applyBorder="1"/>
    <xf numFmtId="164" fontId="2194" fillId="0" borderId="2376" xfId="0" applyNumberFormat="1" applyFont="1" applyBorder="1"/>
    <xf numFmtId="164" fontId="2271" fillId="0" borderId="2460" xfId="0" applyNumberFormat="1" applyFont="1" applyBorder="1"/>
    <xf numFmtId="164" fontId="2272" fillId="0" borderId="2461" xfId="0" applyNumberFormat="1" applyFont="1" applyBorder="1"/>
    <xf numFmtId="164" fontId="2273" fillId="0" borderId="2462" xfId="0" applyNumberFormat="1" applyFont="1" applyBorder="1"/>
    <xf numFmtId="164" fontId="2274" fillId="0" borderId="2463" xfId="0" applyNumberFormat="1" applyFont="1" applyBorder="1"/>
    <xf numFmtId="164" fontId="2275" fillId="0" borderId="2464" xfId="0" applyNumberFormat="1" applyFont="1" applyBorder="1"/>
    <xf numFmtId="164" fontId="2045" fillId="0" borderId="2213" xfId="0" applyNumberFormat="1" applyFont="1" applyBorder="1"/>
    <xf numFmtId="164" fontId="2046" fillId="0" borderId="2214" xfId="0" applyNumberFormat="1" applyFont="1" applyBorder="1"/>
    <xf numFmtId="164" fontId="2047" fillId="0" borderId="2215" xfId="0" applyNumberFormat="1" applyFont="1" applyBorder="1"/>
    <xf numFmtId="164" fontId="2048" fillId="0" borderId="2216" xfId="0" applyNumberFormat="1" applyFont="1" applyBorder="1"/>
    <xf numFmtId="164" fontId="2049" fillId="0" borderId="2217" xfId="0" applyNumberFormat="1" applyFont="1" applyBorder="1"/>
    <xf numFmtId="164" fontId="2130" fillId="0" borderId="2305" xfId="0" applyNumberFormat="1" applyFont="1" applyBorder="1"/>
    <xf numFmtId="164" fontId="2131" fillId="0" borderId="2306" xfId="0" applyNumberFormat="1" applyFont="1" applyBorder="1"/>
    <xf numFmtId="164" fontId="2132" fillId="0" borderId="2307" xfId="0" applyNumberFormat="1" applyFont="1" applyBorder="1"/>
    <xf numFmtId="164" fontId="2133" fillId="0" borderId="2308" xfId="0" applyNumberFormat="1" applyFont="1" applyBorder="1"/>
    <xf numFmtId="164" fontId="2134" fillId="0" borderId="2309" xfId="0" applyNumberFormat="1" applyFont="1" applyBorder="1"/>
    <xf numFmtId="164" fontId="2209" fillId="0" borderId="2391" xfId="0" applyNumberFormat="1" applyFont="1" applyBorder="1"/>
    <xf numFmtId="164" fontId="2210" fillId="0" borderId="2392" xfId="0" applyNumberFormat="1" applyFont="1" applyBorder="1"/>
    <xf numFmtId="164" fontId="2211" fillId="0" borderId="2393" xfId="0" applyNumberFormat="1" applyFont="1" applyBorder="1"/>
    <xf numFmtId="164" fontId="2290" fillId="0" borderId="2479" xfId="0" applyNumberFormat="1" applyFont="1" applyBorder="1"/>
    <xf numFmtId="164" fontId="2291" fillId="0" borderId="2480" xfId="0" applyNumberFormat="1" applyFont="1" applyBorder="1"/>
    <xf numFmtId="164" fontId="2292" fillId="0" borderId="2481" xfId="0" applyNumberFormat="1" applyFont="1" applyBorder="1"/>
    <xf numFmtId="164" fontId="2293" fillId="0" borderId="2482" xfId="0" applyNumberFormat="1" applyFont="1" applyBorder="1"/>
    <xf numFmtId="164" fontId="2294" fillId="0" borderId="2483" xfId="0" applyNumberFormat="1" applyFont="1" applyBorder="1"/>
    <xf numFmtId="164" fontId="2057" fillId="0" borderId="2232" xfId="0" applyNumberFormat="1" applyFont="1" applyBorder="1"/>
    <xf numFmtId="164" fontId="2058" fillId="0" borderId="2233" xfId="0" applyNumberFormat="1" applyFont="1" applyBorder="1"/>
    <xf numFmtId="164" fontId="2059" fillId="0" borderId="2234" xfId="0" applyNumberFormat="1" applyFont="1" applyBorder="1"/>
    <xf numFmtId="164" fontId="2060" fillId="0" borderId="2235" xfId="0" applyNumberFormat="1" applyFont="1" applyBorder="1"/>
    <xf numFmtId="164" fontId="2061" fillId="0" borderId="2236" xfId="0" applyNumberFormat="1" applyFont="1" applyBorder="1"/>
    <xf numFmtId="164" fontId="2142" fillId="0" borderId="2324" xfId="0" applyNumberFormat="1" applyFont="1" applyBorder="1"/>
    <xf numFmtId="164" fontId="2143" fillId="0" borderId="2325" xfId="0" applyNumberFormat="1" applyFont="1" applyBorder="1"/>
    <xf numFmtId="164" fontId="2144" fillId="0" borderId="2326" xfId="0" applyNumberFormat="1" applyFont="1" applyBorder="1"/>
    <xf numFmtId="164" fontId="2145" fillId="0" borderId="2327" xfId="0" applyNumberFormat="1" applyFont="1" applyBorder="1"/>
    <xf numFmtId="164" fontId="2146" fillId="0" borderId="2328" xfId="0" applyNumberFormat="1" applyFont="1" applyBorder="1"/>
    <xf numFmtId="164" fontId="2219" fillId="0" borderId="2408" xfId="0" applyNumberFormat="1" applyFont="1" applyBorder="1"/>
    <xf numFmtId="164" fontId="2220" fillId="0" borderId="2409" xfId="0" applyNumberFormat="1" applyFont="1" applyBorder="1"/>
    <xf numFmtId="164" fontId="2221" fillId="0" borderId="2410" xfId="0" applyNumberFormat="1" applyFont="1" applyBorder="1"/>
    <xf numFmtId="164" fontId="2302" fillId="0" borderId="2498" xfId="0" applyNumberFormat="1" applyFont="1" applyBorder="1"/>
    <xf numFmtId="164" fontId="2303" fillId="0" borderId="2499" xfId="0" applyNumberFormat="1" applyFont="1" applyBorder="1"/>
    <xf numFmtId="164" fontId="2304" fillId="0" borderId="2500" xfId="0" applyNumberFormat="1" applyFont="1" applyBorder="1"/>
    <xf numFmtId="164" fontId="2305" fillId="0" borderId="2501" xfId="0" applyNumberFormat="1" applyFont="1" applyBorder="1"/>
    <xf numFmtId="164" fontId="2306" fillId="0" borderId="2502" xfId="0" applyNumberFormat="1" applyFont="1" applyBorder="1"/>
    <xf numFmtId="164" fontId="4875" fillId="0" borderId="5211" xfId="0" applyNumberFormat="1" applyFont="1" applyBorder="1"/>
    <xf numFmtId="164" fontId="4876" fillId="0" borderId="5212" xfId="0" applyNumberFormat="1" applyFont="1" applyBorder="1"/>
    <xf numFmtId="164" fontId="4877" fillId="0" borderId="5213" xfId="0" applyNumberFormat="1" applyFont="1" applyBorder="1"/>
    <xf numFmtId="164" fontId="4878" fillId="0" borderId="5214" xfId="0" applyNumberFormat="1" applyFont="1" applyBorder="1"/>
    <xf numFmtId="164" fontId="4879" fillId="0" borderId="5215" xfId="0" applyNumberFormat="1" applyFont="1" applyBorder="1"/>
    <xf numFmtId="164" fontId="4914" fillId="0" borderId="5250" xfId="0" applyNumberFormat="1" applyFont="1" applyBorder="1"/>
    <xf numFmtId="164" fontId="4915" fillId="0" borderId="5251" xfId="0" applyNumberFormat="1" applyFont="1" applyBorder="1"/>
    <xf numFmtId="164" fontId="4916" fillId="0" borderId="5252" xfId="0" applyNumberFormat="1" applyFont="1" applyBorder="1"/>
    <xf numFmtId="164" fontId="4917" fillId="0" borderId="5253" xfId="0" applyNumberFormat="1" applyFont="1" applyBorder="1"/>
    <xf numFmtId="164" fontId="4918" fillId="0" borderId="5254" xfId="0" applyNumberFormat="1" applyFont="1" applyBorder="1"/>
    <xf numFmtId="164" fontId="4953" fillId="0" borderId="5289" xfId="0" applyNumberFormat="1" applyFont="1" applyBorder="1"/>
    <xf numFmtId="164" fontId="4954" fillId="0" borderId="5290" xfId="0" applyNumberFormat="1" applyFont="1" applyBorder="1"/>
    <xf numFmtId="164" fontId="4955" fillId="0" borderId="5291" xfId="0" applyNumberFormat="1" applyFont="1" applyBorder="1"/>
    <xf numFmtId="164" fontId="4988" fillId="0" borderId="5324" xfId="0" applyNumberFormat="1" applyFont="1" applyBorder="1"/>
    <xf numFmtId="164" fontId="4989" fillId="0" borderId="5325" xfId="0" applyNumberFormat="1" applyFont="1" applyBorder="1"/>
    <xf numFmtId="164" fontId="4990" fillId="0" borderId="5326" xfId="0" applyNumberFormat="1" applyFont="1" applyBorder="1"/>
    <xf numFmtId="164" fontId="4991" fillId="0" borderId="5327" xfId="0" applyNumberFormat="1" applyFont="1" applyBorder="1"/>
    <xf numFmtId="164" fontId="4992" fillId="0" borderId="5328" xfId="0" applyNumberFormat="1" applyFont="1" applyBorder="1"/>
    <xf numFmtId="164" fontId="4893" fillId="0" borderId="5229" xfId="0" applyNumberFormat="1" applyFont="1" applyBorder="1"/>
    <xf numFmtId="164" fontId="4894" fillId="0" borderId="5230" xfId="0" applyNumberFormat="1" applyFont="1" applyBorder="1"/>
    <xf numFmtId="164" fontId="4895" fillId="0" borderId="5231" xfId="0" applyNumberFormat="1" applyFont="1" applyBorder="1"/>
    <xf numFmtId="164" fontId="4896" fillId="0" borderId="5232" xfId="0" applyNumberFormat="1" applyFont="1" applyBorder="1"/>
    <xf numFmtId="164" fontId="4897" fillId="0" borderId="5233" xfId="0" applyNumberFormat="1" applyFont="1" applyBorder="1"/>
    <xf numFmtId="164" fontId="4932" fillId="0" borderId="5268" xfId="0" applyNumberFormat="1" applyFont="1" applyBorder="1"/>
    <xf numFmtId="164" fontId="4933" fillId="0" borderId="5269" xfId="0" applyNumberFormat="1" applyFont="1" applyBorder="1"/>
    <xf numFmtId="164" fontId="4934" fillId="0" borderId="5270" xfId="0" applyNumberFormat="1" applyFont="1" applyBorder="1"/>
    <xf numFmtId="164" fontId="4935" fillId="0" borderId="5271" xfId="0" applyNumberFormat="1" applyFont="1" applyBorder="1"/>
    <xf numFmtId="164" fontId="4936" fillId="0" borderId="5272" xfId="0" applyNumberFormat="1" applyFont="1" applyBorder="1"/>
    <xf numFmtId="164" fontId="4969" fillId="0" borderId="5305" xfId="0" applyNumberFormat="1" applyFont="1" applyBorder="1"/>
    <xf numFmtId="164" fontId="4970" fillId="0" borderId="5306" xfId="0" applyNumberFormat="1" applyFont="1" applyBorder="1"/>
    <xf numFmtId="164" fontId="4971" fillId="0" borderId="5307" xfId="0" applyNumberFormat="1" applyFont="1" applyBorder="1"/>
    <xf numFmtId="164" fontId="5006" fillId="0" borderId="5342" xfId="0" applyNumberFormat="1" applyFont="1" applyBorder="1"/>
    <xf numFmtId="164" fontId="5007" fillId="0" borderId="5343" xfId="0" applyNumberFormat="1" applyFont="1" applyBorder="1"/>
    <xf numFmtId="164" fontId="5008" fillId="0" borderId="5344" xfId="0" applyNumberFormat="1" applyFont="1" applyBorder="1"/>
    <xf numFmtId="164" fontId="5009" fillId="0" borderId="5345" xfId="0" applyNumberFormat="1" applyFont="1" applyBorder="1"/>
    <xf numFmtId="164" fontId="5010" fillId="0" borderId="5346" xfId="0" applyNumberFormat="1" applyFont="1" applyBorder="1"/>
    <xf numFmtId="164" fontId="1656" fillId="0" borderId="1796" xfId="0" applyNumberFormat="1" applyFont="1" applyBorder="1"/>
    <xf numFmtId="164" fontId="1657" fillId="0" borderId="1797" xfId="0" applyNumberFormat="1" applyFont="1" applyBorder="1"/>
    <xf numFmtId="164" fontId="1658" fillId="0" borderId="1798" xfId="0" applyNumberFormat="1" applyFont="1" applyBorder="1"/>
    <xf numFmtId="164" fontId="1659" fillId="0" borderId="1799" xfId="0" applyNumberFormat="1" applyFont="1" applyBorder="1"/>
    <xf numFmtId="164" fontId="1660" fillId="0" borderId="1800" xfId="0" applyNumberFormat="1" applyFont="1" applyBorder="1"/>
    <xf numFmtId="164" fontId="1741" fillId="0" borderId="1888" xfId="0" applyNumberFormat="1" applyFont="1" applyBorder="1"/>
    <xf numFmtId="164" fontId="1742" fillId="0" borderId="1889" xfId="0" applyNumberFormat="1" applyFont="1" applyBorder="1"/>
    <xf numFmtId="164" fontId="1743" fillId="0" borderId="1890" xfId="0" applyNumberFormat="1" applyFont="1" applyBorder="1"/>
    <xf numFmtId="164" fontId="1744" fillId="0" borderId="1891" xfId="0" applyNumberFormat="1" applyFont="1" applyBorder="1"/>
    <xf numFmtId="164" fontId="1745" fillId="0" borderId="1892" xfId="0" applyNumberFormat="1" applyFont="1" applyBorder="1"/>
    <xf numFmtId="164" fontId="1826" fillId="0" borderId="1980" xfId="0" applyNumberFormat="1" applyFont="1" applyBorder="1"/>
    <xf numFmtId="164" fontId="1827" fillId="0" borderId="1981" xfId="0" applyNumberFormat="1" applyFont="1" applyBorder="1"/>
    <xf numFmtId="164" fontId="1828" fillId="0" borderId="1982" xfId="0" applyNumberFormat="1" applyFont="1" applyBorder="1"/>
    <xf numFmtId="164" fontId="1901" fillId="0" borderId="2062" xfId="0" applyNumberFormat="1" applyFont="1" applyBorder="1"/>
    <xf numFmtId="164" fontId="1902" fillId="0" borderId="2063" xfId="0" applyNumberFormat="1" applyFont="1" applyBorder="1"/>
    <xf numFmtId="164" fontId="1903" fillId="0" borderId="2064" xfId="0" applyNumberFormat="1" applyFont="1" applyBorder="1"/>
    <xf numFmtId="164" fontId="1904" fillId="0" borderId="2065" xfId="0" applyNumberFormat="1" applyFont="1" applyBorder="1"/>
    <xf numFmtId="164" fontId="1905" fillId="0" borderId="2066" xfId="0" applyNumberFormat="1" applyFont="1" applyBorder="1"/>
    <xf numFmtId="164" fontId="1676" fillId="0" borderId="1816" xfId="0" applyNumberFormat="1" applyFont="1" applyBorder="1"/>
    <xf numFmtId="164" fontId="1677" fillId="0" borderId="1817" xfId="0" applyNumberFormat="1" applyFont="1" applyBorder="1"/>
    <xf numFmtId="164" fontId="1678" fillId="0" borderId="1818" xfId="0" applyNumberFormat="1" applyFont="1" applyBorder="1"/>
    <xf numFmtId="164" fontId="1679" fillId="0" borderId="1819" xfId="0" applyNumberFormat="1" applyFont="1" applyBorder="1"/>
    <xf numFmtId="164" fontId="1680" fillId="0" borderId="1820" xfId="0" applyNumberFormat="1" applyFont="1" applyBorder="1"/>
    <xf numFmtId="164" fontId="1761" fillId="0" borderId="1908" xfId="0" applyNumberFormat="1" applyFont="1" applyBorder="1"/>
    <xf numFmtId="164" fontId="1762" fillId="0" borderId="1909" xfId="0" applyNumberFormat="1" applyFont="1" applyBorder="1"/>
    <xf numFmtId="164" fontId="1763" fillId="0" borderId="1910" xfId="0" applyNumberFormat="1" applyFont="1" applyBorder="1"/>
    <xf numFmtId="164" fontId="1764" fillId="0" borderId="1911" xfId="0" applyNumberFormat="1" applyFont="1" applyBorder="1"/>
    <xf numFmtId="164" fontId="1765" fillId="0" borderId="1912" xfId="0" applyNumberFormat="1" applyFont="1" applyBorder="1"/>
    <xf numFmtId="164" fontId="1844" fillId="0" borderId="1998" xfId="0" applyNumberFormat="1" applyFont="1" applyBorder="1"/>
    <xf numFmtId="164" fontId="1845" fillId="0" borderId="1999" xfId="0" applyNumberFormat="1" applyFont="1" applyBorder="1"/>
    <xf numFmtId="164" fontId="1846" fillId="0" borderId="2000" xfId="0" applyNumberFormat="1" applyFont="1" applyBorder="1"/>
    <xf numFmtId="164" fontId="1921" fillId="0" borderId="2082" xfId="0" applyNumberFormat="1" applyFont="1" applyBorder="1"/>
    <xf numFmtId="164" fontId="1922" fillId="0" borderId="2083" xfId="0" applyNumberFormat="1" applyFont="1" applyBorder="1"/>
    <xf numFmtId="164" fontId="1923" fillId="0" borderId="2084" xfId="0" applyNumberFormat="1" applyFont="1" applyBorder="1"/>
    <xf numFmtId="164" fontId="1924" fillId="0" borderId="2085" xfId="0" applyNumberFormat="1" applyFont="1" applyBorder="1"/>
    <xf numFmtId="164" fontId="1925" fillId="0" borderId="2086" xfId="0" applyNumberFormat="1" applyFont="1" applyBorder="1"/>
    <xf numFmtId="164" fontId="1696" fillId="0" borderId="1836" xfId="0" applyNumberFormat="1" applyFont="1" applyBorder="1"/>
    <xf numFmtId="164" fontId="1697" fillId="0" borderId="1837" xfId="0" applyNumberFormat="1" applyFont="1" applyBorder="1"/>
    <xf numFmtId="164" fontId="1698" fillId="0" borderId="1838" xfId="0" applyNumberFormat="1" applyFont="1" applyBorder="1"/>
    <xf numFmtId="164" fontId="1699" fillId="0" borderId="1839" xfId="0" applyNumberFormat="1" applyFont="1" applyBorder="1"/>
    <xf numFmtId="164" fontId="1700" fillId="0" borderId="1840" xfId="0" applyNumberFormat="1" applyFont="1" applyBorder="1"/>
    <xf numFmtId="164" fontId="1781" fillId="0" borderId="1928" xfId="0" applyNumberFormat="1" applyFont="1" applyBorder="1"/>
    <xf numFmtId="164" fontId="1782" fillId="0" borderId="1929" xfId="0" applyNumberFormat="1" applyFont="1" applyBorder="1"/>
    <xf numFmtId="164" fontId="1783" fillId="0" borderId="1930" xfId="0" applyNumberFormat="1" applyFont="1" applyBorder="1"/>
    <xf numFmtId="164" fontId="1784" fillId="0" borderId="1931" xfId="0" applyNumberFormat="1" applyFont="1" applyBorder="1"/>
    <xf numFmtId="164" fontId="1785" fillId="0" borderId="1932" xfId="0" applyNumberFormat="1" applyFont="1" applyBorder="1"/>
    <xf numFmtId="164" fontId="1862" fillId="0" borderId="2016" xfId="0" applyNumberFormat="1" applyFont="1" applyBorder="1"/>
    <xf numFmtId="164" fontId="1863" fillId="0" borderId="2017" xfId="0" applyNumberFormat="1" applyFont="1" applyBorder="1"/>
    <xf numFmtId="164" fontId="1864" fillId="0" borderId="2018" xfId="0" applyNumberFormat="1" applyFont="1" applyBorder="1"/>
    <xf numFmtId="164" fontId="1941" fillId="0" borderId="2102" xfId="0" applyNumberFormat="1" applyFont="1" applyBorder="1"/>
    <xf numFmtId="164" fontId="1942" fillId="0" borderId="2103" xfId="0" applyNumberFormat="1" applyFont="1" applyBorder="1"/>
    <xf numFmtId="164" fontId="1943" fillId="0" borderId="2104" xfId="0" applyNumberFormat="1" applyFont="1" applyBorder="1"/>
    <xf numFmtId="164" fontId="1944" fillId="0" borderId="2105" xfId="0" applyNumberFormat="1" applyFont="1" applyBorder="1"/>
    <xf numFmtId="164" fontId="1945" fillId="0" borderId="2106" xfId="0" applyNumberFormat="1" applyFont="1" applyBorder="1"/>
    <xf numFmtId="164" fontId="1715" fillId="0" borderId="1855" xfId="0" applyNumberFormat="1" applyFont="1" applyBorder="1"/>
    <xf numFmtId="164" fontId="1716" fillId="0" borderId="1856" xfId="0" applyNumberFormat="1" applyFont="1" applyBorder="1"/>
    <xf numFmtId="164" fontId="1717" fillId="0" borderId="1857" xfId="0" applyNumberFormat="1" applyFont="1" applyBorder="1"/>
    <xf numFmtId="164" fontId="1718" fillId="0" borderId="1858" xfId="0" applyNumberFormat="1" applyFont="1" applyBorder="1"/>
    <xf numFmtId="164" fontId="1719" fillId="0" borderId="1859" xfId="0" applyNumberFormat="1" applyFont="1" applyBorder="1"/>
    <xf numFmtId="164" fontId="1800" fillId="0" borderId="1947" xfId="0" applyNumberFormat="1" applyFont="1" applyBorder="1"/>
    <xf numFmtId="164" fontId="1801" fillId="0" borderId="1948" xfId="0" applyNumberFormat="1" applyFont="1" applyBorder="1"/>
    <xf numFmtId="164" fontId="1802" fillId="0" borderId="1949" xfId="0" applyNumberFormat="1" applyFont="1" applyBorder="1"/>
    <xf numFmtId="164" fontId="1803" fillId="0" borderId="1950" xfId="0" applyNumberFormat="1" applyFont="1" applyBorder="1"/>
    <xf numFmtId="164" fontId="1804" fillId="0" borderId="1951" xfId="0" applyNumberFormat="1" applyFont="1" applyBorder="1"/>
    <xf numFmtId="164" fontId="1879" fillId="0" borderId="2033" xfId="0" applyNumberFormat="1" applyFont="1" applyBorder="1"/>
    <xf numFmtId="164" fontId="1880" fillId="0" borderId="2034" xfId="0" applyNumberFormat="1" applyFont="1" applyBorder="1"/>
    <xf numFmtId="164" fontId="1881" fillId="0" borderId="2035" xfId="0" applyNumberFormat="1" applyFont="1" applyBorder="1"/>
    <xf numFmtId="164" fontId="1960" fillId="0" borderId="2121" xfId="0" applyNumberFormat="1" applyFont="1" applyBorder="1"/>
    <xf numFmtId="164" fontId="1961" fillId="0" borderId="2122" xfId="0" applyNumberFormat="1" applyFont="1" applyBorder="1"/>
    <xf numFmtId="164" fontId="1962" fillId="0" borderId="2123" xfId="0" applyNumberFormat="1" applyFont="1" applyBorder="1"/>
    <xf numFmtId="164" fontId="1963" fillId="0" borderId="2124" xfId="0" applyNumberFormat="1" applyFont="1" applyBorder="1"/>
    <xf numFmtId="164" fontId="1964" fillId="0" borderId="2125" xfId="0" applyNumberFormat="1" applyFont="1" applyBorder="1"/>
    <xf numFmtId="164" fontId="1727" fillId="0" borderId="1874" xfId="0" applyNumberFormat="1" applyFont="1" applyBorder="1"/>
    <xf numFmtId="164" fontId="1728" fillId="0" borderId="1875" xfId="0" applyNumberFormat="1" applyFont="1" applyBorder="1"/>
    <xf numFmtId="164" fontId="1729" fillId="0" borderId="1876" xfId="0" applyNumberFormat="1" applyFont="1" applyBorder="1"/>
    <xf numFmtId="164" fontId="1730" fillId="0" borderId="1877" xfId="0" applyNumberFormat="1" applyFont="1" applyBorder="1"/>
    <xf numFmtId="164" fontId="1731" fillId="0" borderId="1878" xfId="0" applyNumberFormat="1" applyFont="1" applyBorder="1"/>
    <xf numFmtId="164" fontId="1812" fillId="0" borderId="1966" xfId="0" applyNumberFormat="1" applyFont="1" applyBorder="1"/>
    <xf numFmtId="164" fontId="1813" fillId="0" borderId="1967" xfId="0" applyNumberFormat="1" applyFont="1" applyBorder="1"/>
    <xf numFmtId="164" fontId="1814" fillId="0" borderId="1968" xfId="0" applyNumberFormat="1" applyFont="1" applyBorder="1"/>
    <xf numFmtId="164" fontId="1815" fillId="0" borderId="1969" xfId="0" applyNumberFormat="1" applyFont="1" applyBorder="1"/>
    <xf numFmtId="164" fontId="1816" fillId="0" borderId="1970" xfId="0" applyNumberFormat="1" applyFont="1" applyBorder="1"/>
    <xf numFmtId="164" fontId="1889" fillId="0" borderId="2050" xfId="0" applyNumberFormat="1" applyFont="1" applyBorder="1"/>
    <xf numFmtId="164" fontId="1890" fillId="0" borderId="2051" xfId="0" applyNumberFormat="1" applyFont="1" applyBorder="1"/>
    <xf numFmtId="164" fontId="1891" fillId="0" borderId="2052" xfId="0" applyNumberFormat="1" applyFont="1" applyBorder="1"/>
    <xf numFmtId="164" fontId="1972" fillId="0" borderId="2140" xfId="0" applyNumberFormat="1" applyFont="1" applyBorder="1"/>
    <xf numFmtId="164" fontId="1973" fillId="0" borderId="2141" xfId="0" applyNumberFormat="1" applyFont="1" applyBorder="1"/>
    <xf numFmtId="164" fontId="1974" fillId="0" borderId="2142" xfId="0" applyNumberFormat="1" applyFont="1" applyBorder="1"/>
    <xf numFmtId="164" fontId="1975" fillId="0" borderId="2143" xfId="0" applyNumberFormat="1" applyFont="1" applyBorder="1"/>
    <xf numFmtId="164" fontId="1976" fillId="0" borderId="2144" xfId="0" applyNumberFormat="1" applyFont="1" applyBorder="1"/>
    <xf numFmtId="164" fontId="4723" fillId="0" borderId="5059" xfId="0" applyNumberFormat="1" applyFont="1" applyBorder="1"/>
    <xf numFmtId="164" fontId="4724" fillId="0" borderId="5060" xfId="0" applyNumberFormat="1" applyFont="1" applyBorder="1"/>
    <xf numFmtId="164" fontId="4725" fillId="0" borderId="5061" xfId="0" applyNumberFormat="1" applyFont="1" applyBorder="1"/>
    <xf numFmtId="164" fontId="4726" fillId="0" borderId="5062" xfId="0" applyNumberFormat="1" applyFont="1" applyBorder="1"/>
    <xf numFmtId="164" fontId="4727" fillId="0" borderId="5063" xfId="0" applyNumberFormat="1" applyFont="1" applyBorder="1"/>
    <xf numFmtId="164" fontId="4762" fillId="0" borderId="5098" xfId="0" applyNumberFormat="1" applyFont="1" applyBorder="1"/>
    <xf numFmtId="164" fontId="4763" fillId="0" borderId="5099" xfId="0" applyNumberFormat="1" applyFont="1" applyBorder="1"/>
    <xf numFmtId="164" fontId="4764" fillId="0" borderId="5100" xfId="0" applyNumberFormat="1" applyFont="1" applyBorder="1"/>
    <xf numFmtId="164" fontId="4765" fillId="0" borderId="5101" xfId="0" applyNumberFormat="1" applyFont="1" applyBorder="1"/>
    <xf numFmtId="164" fontId="4766" fillId="0" borderId="5102" xfId="0" applyNumberFormat="1" applyFont="1" applyBorder="1"/>
    <xf numFmtId="164" fontId="4801" fillId="0" borderId="5137" xfId="0" applyNumberFormat="1" applyFont="1" applyBorder="1"/>
    <xf numFmtId="164" fontId="4802" fillId="0" borderId="5138" xfId="0" applyNumberFormat="1" applyFont="1" applyBorder="1"/>
    <xf numFmtId="164" fontId="4803" fillId="0" borderId="5139" xfId="0" applyNumberFormat="1" applyFont="1" applyBorder="1"/>
    <xf numFmtId="164" fontId="4836" fillId="0" borderId="5172" xfId="0" applyNumberFormat="1" applyFont="1" applyBorder="1"/>
    <xf numFmtId="164" fontId="4837" fillId="0" borderId="5173" xfId="0" applyNumberFormat="1" applyFont="1" applyBorder="1"/>
    <xf numFmtId="164" fontId="4838" fillId="0" borderId="5174" xfId="0" applyNumberFormat="1" applyFont="1" applyBorder="1"/>
    <xf numFmtId="164" fontId="4839" fillId="0" borderId="5175" xfId="0" applyNumberFormat="1" applyFont="1" applyBorder="1"/>
    <xf numFmtId="164" fontId="4840" fillId="0" borderId="5176" xfId="0" applyNumberFormat="1" applyFont="1" applyBorder="1"/>
    <xf numFmtId="164" fontId="4741" fillId="0" borderId="5077" xfId="0" applyNumberFormat="1" applyFont="1" applyBorder="1"/>
    <xf numFmtId="164" fontId="4742" fillId="0" borderId="5078" xfId="0" applyNumberFormat="1" applyFont="1" applyBorder="1"/>
    <xf numFmtId="164" fontId="4743" fillId="0" borderId="5079" xfId="0" applyNumberFormat="1" applyFont="1" applyBorder="1"/>
    <xf numFmtId="164" fontId="4744" fillId="0" borderId="5080" xfId="0" applyNumberFormat="1" applyFont="1" applyBorder="1"/>
    <xf numFmtId="164" fontId="4745" fillId="0" borderId="5081" xfId="0" applyNumberFormat="1" applyFont="1" applyBorder="1"/>
    <xf numFmtId="164" fontId="4780" fillId="0" borderId="5116" xfId="0" applyNumberFormat="1" applyFont="1" applyBorder="1"/>
    <xf numFmtId="164" fontId="4781" fillId="0" borderId="5117" xfId="0" applyNumberFormat="1" applyFont="1" applyBorder="1"/>
    <xf numFmtId="164" fontId="4782" fillId="0" borderId="5118" xfId="0" applyNumberFormat="1" applyFont="1" applyBorder="1"/>
    <xf numFmtId="164" fontId="4783" fillId="0" borderId="5119" xfId="0" applyNumberFormat="1" applyFont="1" applyBorder="1"/>
    <xf numFmtId="164" fontId="4784" fillId="0" borderId="5120" xfId="0" applyNumberFormat="1" applyFont="1" applyBorder="1"/>
    <xf numFmtId="164" fontId="4817" fillId="0" borderId="5153" xfId="0" applyNumberFormat="1" applyFont="1" applyBorder="1"/>
    <xf numFmtId="164" fontId="4818" fillId="0" borderId="5154" xfId="0" applyNumberFormat="1" applyFont="1" applyBorder="1"/>
    <xf numFmtId="164" fontId="4819" fillId="0" borderId="5155" xfId="0" applyNumberFormat="1" applyFont="1" applyBorder="1"/>
    <xf numFmtId="164" fontId="4854" fillId="0" borderId="5190" xfId="0" applyNumberFormat="1" applyFont="1" applyBorder="1"/>
    <xf numFmtId="164" fontId="4855" fillId="0" borderId="5191" xfId="0" applyNumberFormat="1" applyFont="1" applyBorder="1"/>
    <xf numFmtId="164" fontId="4856" fillId="0" borderId="5192" xfId="0" applyNumberFormat="1" applyFont="1" applyBorder="1"/>
    <xf numFmtId="164" fontId="4857" fillId="0" borderId="5193" xfId="0" applyNumberFormat="1" applyFont="1" applyBorder="1"/>
    <xf numFmtId="164" fontId="4858" fillId="0" borderId="5194" xfId="0" applyNumberFormat="1" applyFont="1" applyBorder="1"/>
    <xf numFmtId="164" fontId="1326" fillId="0" borderId="1438" xfId="0" applyNumberFormat="1" applyFont="1" applyBorder="1"/>
    <xf numFmtId="164" fontId="1327" fillId="0" borderId="1439" xfId="0" applyNumberFormat="1" applyFont="1" applyBorder="1"/>
    <xf numFmtId="164" fontId="1328" fillId="0" borderId="1440" xfId="0" applyNumberFormat="1" applyFont="1" applyBorder="1"/>
    <xf numFmtId="164" fontId="1329" fillId="0" borderId="1441" xfId="0" applyNumberFormat="1" applyFont="1" applyBorder="1"/>
    <xf numFmtId="164" fontId="1330" fillId="0" borderId="1442" xfId="0" applyNumberFormat="1" applyFont="1" applyBorder="1"/>
    <xf numFmtId="164" fontId="1411" fillId="0" borderId="1530" xfId="0" applyNumberFormat="1" applyFont="1" applyBorder="1"/>
    <xf numFmtId="164" fontId="1412" fillId="0" borderId="1531" xfId="0" applyNumberFormat="1" applyFont="1" applyBorder="1"/>
    <xf numFmtId="164" fontId="1413" fillId="0" borderId="1532" xfId="0" applyNumberFormat="1" applyFont="1" applyBorder="1"/>
    <xf numFmtId="164" fontId="1414" fillId="0" borderId="1533" xfId="0" applyNumberFormat="1" applyFont="1" applyBorder="1"/>
    <xf numFmtId="164" fontId="1415" fillId="0" borderId="1534" xfId="0" applyNumberFormat="1" applyFont="1" applyBorder="1"/>
    <xf numFmtId="164" fontId="1496" fillId="0" borderId="1622" xfId="0" applyNumberFormat="1" applyFont="1" applyBorder="1"/>
    <xf numFmtId="164" fontId="1497" fillId="0" borderId="1623" xfId="0" applyNumberFormat="1" applyFont="1" applyBorder="1"/>
    <xf numFmtId="164" fontId="1498" fillId="0" borderId="1624" xfId="0" applyNumberFormat="1" applyFont="1" applyBorder="1"/>
    <xf numFmtId="164" fontId="1571" fillId="0" borderId="1704" xfId="0" applyNumberFormat="1" applyFont="1" applyBorder="1"/>
    <xf numFmtId="164" fontId="1572" fillId="0" borderId="1705" xfId="0" applyNumberFormat="1" applyFont="1" applyBorder="1"/>
    <xf numFmtId="164" fontId="1573" fillId="0" borderId="1706" xfId="0" applyNumberFormat="1" applyFont="1" applyBorder="1"/>
    <xf numFmtId="164" fontId="1574" fillId="0" borderId="1707" xfId="0" applyNumberFormat="1" applyFont="1" applyBorder="1"/>
    <xf numFmtId="164" fontId="1575" fillId="0" borderId="1708" xfId="0" applyNumberFormat="1" applyFont="1" applyBorder="1"/>
    <xf numFmtId="164" fontId="1346" fillId="0" borderId="1458" xfId="0" applyNumberFormat="1" applyFont="1" applyBorder="1"/>
    <xf numFmtId="164" fontId="1347" fillId="0" borderId="1459" xfId="0" applyNumberFormat="1" applyFont="1" applyBorder="1"/>
    <xf numFmtId="164" fontId="1348" fillId="0" borderId="1460" xfId="0" applyNumberFormat="1" applyFont="1" applyBorder="1"/>
    <xf numFmtId="164" fontId="1349" fillId="0" borderId="1461" xfId="0" applyNumberFormat="1" applyFont="1" applyBorder="1"/>
    <xf numFmtId="164" fontId="1350" fillId="0" borderId="1462" xfId="0" applyNumberFormat="1" applyFont="1" applyBorder="1"/>
    <xf numFmtId="164" fontId="1431" fillId="0" borderId="1550" xfId="0" applyNumberFormat="1" applyFont="1" applyBorder="1"/>
    <xf numFmtId="164" fontId="1432" fillId="0" borderId="1551" xfId="0" applyNumberFormat="1" applyFont="1" applyBorder="1"/>
    <xf numFmtId="164" fontId="1433" fillId="0" borderId="1552" xfId="0" applyNumberFormat="1" applyFont="1" applyBorder="1"/>
    <xf numFmtId="164" fontId="1434" fillId="0" borderId="1553" xfId="0" applyNumberFormat="1" applyFont="1" applyBorder="1"/>
    <xf numFmtId="164" fontId="1435" fillId="0" borderId="1554" xfId="0" applyNumberFormat="1" applyFont="1" applyBorder="1"/>
    <xf numFmtId="164" fontId="1514" fillId="0" borderId="1640" xfId="0" applyNumberFormat="1" applyFont="1" applyBorder="1"/>
    <xf numFmtId="164" fontId="1515" fillId="0" borderId="1641" xfId="0" applyNumberFormat="1" applyFont="1" applyBorder="1"/>
    <xf numFmtId="164" fontId="1516" fillId="0" borderId="1642" xfId="0" applyNumberFormat="1" applyFont="1" applyBorder="1"/>
    <xf numFmtId="164" fontId="1591" fillId="0" borderId="1724" xfId="0" applyNumberFormat="1" applyFont="1" applyBorder="1"/>
    <xf numFmtId="164" fontId="1592" fillId="0" borderId="1725" xfId="0" applyNumberFormat="1" applyFont="1" applyBorder="1"/>
    <xf numFmtId="164" fontId="1593" fillId="0" borderId="1726" xfId="0" applyNumberFormat="1" applyFont="1" applyBorder="1"/>
    <xf numFmtId="164" fontId="1594" fillId="0" borderId="1727" xfId="0" applyNumberFormat="1" applyFont="1" applyBorder="1"/>
    <xf numFmtId="164" fontId="1595" fillId="0" borderId="1728" xfId="0" applyNumberFormat="1" applyFont="1" applyBorder="1"/>
    <xf numFmtId="164" fontId="1366" fillId="0" borderId="1478" xfId="0" applyNumberFormat="1" applyFont="1" applyBorder="1"/>
    <xf numFmtId="164" fontId="1367" fillId="0" borderId="1479" xfId="0" applyNumberFormat="1" applyFont="1" applyBorder="1"/>
    <xf numFmtId="164" fontId="1368" fillId="0" borderId="1480" xfId="0" applyNumberFormat="1" applyFont="1" applyBorder="1"/>
    <xf numFmtId="164" fontId="1369" fillId="0" borderId="1481" xfId="0" applyNumberFormat="1" applyFont="1" applyBorder="1"/>
    <xf numFmtId="164" fontId="1370" fillId="0" borderId="1482" xfId="0" applyNumberFormat="1" applyFont="1" applyBorder="1"/>
    <xf numFmtId="164" fontId="1451" fillId="0" borderId="1570" xfId="0" applyNumberFormat="1" applyFont="1" applyBorder="1"/>
    <xf numFmtId="164" fontId="1452" fillId="0" borderId="1571" xfId="0" applyNumberFormat="1" applyFont="1" applyBorder="1"/>
    <xf numFmtId="164" fontId="1453" fillId="0" borderId="1572" xfId="0" applyNumberFormat="1" applyFont="1" applyBorder="1"/>
    <xf numFmtId="164" fontId="1454" fillId="0" borderId="1573" xfId="0" applyNumberFormat="1" applyFont="1" applyBorder="1"/>
    <xf numFmtId="164" fontId="1455" fillId="0" borderId="1574" xfId="0" applyNumberFormat="1" applyFont="1" applyBorder="1"/>
    <xf numFmtId="164" fontId="1532" fillId="0" borderId="1658" xfId="0" applyNumberFormat="1" applyFont="1" applyBorder="1"/>
    <xf numFmtId="164" fontId="1533" fillId="0" borderId="1659" xfId="0" applyNumberFormat="1" applyFont="1" applyBorder="1"/>
    <xf numFmtId="164" fontId="1534" fillId="0" borderId="1660" xfId="0" applyNumberFormat="1" applyFont="1" applyBorder="1"/>
    <xf numFmtId="164" fontId="1611" fillId="0" borderId="1744" xfId="0" applyNumberFormat="1" applyFont="1" applyBorder="1"/>
    <xf numFmtId="164" fontId="1612" fillId="0" borderId="1745" xfId="0" applyNumberFormat="1" applyFont="1" applyBorder="1"/>
    <xf numFmtId="164" fontId="1613" fillId="0" borderId="1746" xfId="0" applyNumberFormat="1" applyFont="1" applyBorder="1"/>
    <xf numFmtId="164" fontId="1614" fillId="0" borderId="1747" xfId="0" applyNumberFormat="1" applyFont="1" applyBorder="1"/>
    <xf numFmtId="164" fontId="1615" fillId="0" borderId="1748" xfId="0" applyNumberFormat="1" applyFont="1" applyBorder="1"/>
    <xf numFmtId="164" fontId="1385" fillId="0" borderId="1497" xfId="0" applyNumberFormat="1" applyFont="1" applyBorder="1"/>
    <xf numFmtId="164" fontId="1386" fillId="0" borderId="1498" xfId="0" applyNumberFormat="1" applyFont="1" applyBorder="1"/>
    <xf numFmtId="164" fontId="1387" fillId="0" borderId="1499" xfId="0" applyNumberFormat="1" applyFont="1" applyBorder="1"/>
    <xf numFmtId="164" fontId="1388" fillId="0" borderId="1500" xfId="0" applyNumberFormat="1" applyFont="1" applyBorder="1"/>
    <xf numFmtId="164" fontId="1389" fillId="0" borderId="1501" xfId="0" applyNumberFormat="1" applyFont="1" applyBorder="1"/>
    <xf numFmtId="164" fontId="1470" fillId="0" borderId="1589" xfId="0" applyNumberFormat="1" applyFont="1" applyBorder="1"/>
    <xf numFmtId="164" fontId="1471" fillId="0" borderId="1590" xfId="0" applyNumberFormat="1" applyFont="1" applyBorder="1"/>
    <xf numFmtId="164" fontId="1472" fillId="0" borderId="1591" xfId="0" applyNumberFormat="1" applyFont="1" applyBorder="1"/>
    <xf numFmtId="164" fontId="1473" fillId="0" borderId="1592" xfId="0" applyNumberFormat="1" applyFont="1" applyBorder="1"/>
    <xf numFmtId="164" fontId="1474" fillId="0" borderId="1593" xfId="0" applyNumberFormat="1" applyFont="1" applyBorder="1"/>
    <xf numFmtId="164" fontId="1549" fillId="0" borderId="1675" xfId="0" applyNumberFormat="1" applyFont="1" applyBorder="1"/>
    <xf numFmtId="164" fontId="1550" fillId="0" borderId="1676" xfId="0" applyNumberFormat="1" applyFont="1" applyBorder="1"/>
    <xf numFmtId="164" fontId="1551" fillId="0" borderId="1677" xfId="0" applyNumberFormat="1" applyFont="1" applyBorder="1"/>
    <xf numFmtId="164" fontId="1630" fillId="0" borderId="1763" xfId="0" applyNumberFormat="1" applyFont="1" applyBorder="1"/>
    <xf numFmtId="164" fontId="1631" fillId="0" borderId="1764" xfId="0" applyNumberFormat="1" applyFont="1" applyBorder="1"/>
    <xf numFmtId="164" fontId="1632" fillId="0" borderId="1765" xfId="0" applyNumberFormat="1" applyFont="1" applyBorder="1"/>
    <xf numFmtId="164" fontId="1633" fillId="0" borderId="1766" xfId="0" applyNumberFormat="1" applyFont="1" applyBorder="1"/>
    <xf numFmtId="164" fontId="1634" fillId="0" borderId="1767" xfId="0" applyNumberFormat="1" applyFont="1" applyBorder="1"/>
    <xf numFmtId="164" fontId="1397" fillId="0" borderId="1516" xfId="0" applyNumberFormat="1" applyFont="1" applyBorder="1"/>
    <xf numFmtId="164" fontId="1398" fillId="0" borderId="1517" xfId="0" applyNumberFormat="1" applyFont="1" applyBorder="1"/>
    <xf numFmtId="164" fontId="1399" fillId="0" borderId="1518" xfId="0" applyNumberFormat="1" applyFont="1" applyBorder="1"/>
    <xf numFmtId="164" fontId="1400" fillId="0" borderId="1519" xfId="0" applyNumberFormat="1" applyFont="1" applyBorder="1"/>
    <xf numFmtId="164" fontId="1401" fillId="0" borderId="1520" xfId="0" applyNumberFormat="1" applyFont="1" applyBorder="1"/>
    <xf numFmtId="164" fontId="1482" fillId="0" borderId="1608" xfId="0" applyNumberFormat="1" applyFont="1" applyBorder="1"/>
    <xf numFmtId="164" fontId="1483" fillId="0" borderId="1609" xfId="0" applyNumberFormat="1" applyFont="1" applyBorder="1"/>
    <xf numFmtId="164" fontId="1484" fillId="0" borderId="1610" xfId="0" applyNumberFormat="1" applyFont="1" applyBorder="1"/>
    <xf numFmtId="164" fontId="1485" fillId="0" borderId="1611" xfId="0" applyNumberFormat="1" applyFont="1" applyBorder="1"/>
    <xf numFmtId="164" fontId="1486" fillId="0" borderId="1612" xfId="0" applyNumberFormat="1" applyFont="1" applyBorder="1"/>
    <xf numFmtId="164" fontId="1559" fillId="0" borderId="1692" xfId="0" applyNumberFormat="1" applyFont="1" applyBorder="1"/>
    <xf numFmtId="164" fontId="1560" fillId="0" borderId="1693" xfId="0" applyNumberFormat="1" applyFont="1" applyBorder="1"/>
    <xf numFmtId="164" fontId="1561" fillId="0" borderId="1694" xfId="0" applyNumberFormat="1" applyFont="1" applyBorder="1"/>
    <xf numFmtId="164" fontId="1642" fillId="0" borderId="1782" xfId="0" applyNumberFormat="1" applyFont="1" applyBorder="1"/>
    <xf numFmtId="164" fontId="1643" fillId="0" borderId="1783" xfId="0" applyNumberFormat="1" applyFont="1" applyBorder="1"/>
    <xf numFmtId="164" fontId="1644" fillId="0" borderId="1784" xfId="0" applyNumberFormat="1" applyFont="1" applyBorder="1"/>
    <xf numFmtId="164" fontId="1645" fillId="0" borderId="1785" xfId="0" applyNumberFormat="1" applyFont="1" applyBorder="1"/>
    <xf numFmtId="164" fontId="1646" fillId="0" borderId="1786" xfId="0" applyNumberFormat="1" applyFont="1" applyBorder="1"/>
    <xf numFmtId="164" fontId="4571" fillId="0" borderId="4907" xfId="0" applyNumberFormat="1" applyFont="1" applyBorder="1"/>
    <xf numFmtId="164" fontId="4572" fillId="0" borderId="4908" xfId="0" applyNumberFormat="1" applyFont="1" applyBorder="1"/>
    <xf numFmtId="164" fontId="4573" fillId="0" borderId="4909" xfId="0" applyNumberFormat="1" applyFont="1" applyBorder="1"/>
    <xf numFmtId="164" fontId="4574" fillId="0" borderId="4910" xfId="0" applyNumberFormat="1" applyFont="1" applyBorder="1"/>
    <xf numFmtId="164" fontId="4575" fillId="0" borderId="4911" xfId="0" applyNumberFormat="1" applyFont="1" applyBorder="1"/>
    <xf numFmtId="164" fontId="4610" fillId="0" borderId="4946" xfId="0" applyNumberFormat="1" applyFont="1" applyBorder="1"/>
    <xf numFmtId="164" fontId="4611" fillId="0" borderId="4947" xfId="0" applyNumberFormat="1" applyFont="1" applyBorder="1"/>
    <xf numFmtId="164" fontId="4612" fillId="0" borderId="4948" xfId="0" applyNumberFormat="1" applyFont="1" applyBorder="1"/>
    <xf numFmtId="164" fontId="4613" fillId="0" borderId="4949" xfId="0" applyNumberFormat="1" applyFont="1" applyBorder="1"/>
    <xf numFmtId="164" fontId="4614" fillId="0" borderId="4950" xfId="0" applyNumberFormat="1" applyFont="1" applyBorder="1"/>
    <xf numFmtId="164" fontId="4649" fillId="0" borderId="4985" xfId="0" applyNumberFormat="1" applyFont="1" applyBorder="1"/>
    <xf numFmtId="164" fontId="4650" fillId="0" borderId="4986" xfId="0" applyNumberFormat="1" applyFont="1" applyBorder="1"/>
    <xf numFmtId="164" fontId="4651" fillId="0" borderId="4987" xfId="0" applyNumberFormat="1" applyFont="1" applyBorder="1"/>
    <xf numFmtId="164" fontId="4684" fillId="0" borderId="5020" xfId="0" applyNumberFormat="1" applyFont="1" applyBorder="1"/>
    <xf numFmtId="164" fontId="4685" fillId="0" borderId="5021" xfId="0" applyNumberFormat="1" applyFont="1" applyBorder="1"/>
    <xf numFmtId="164" fontId="4686" fillId="0" borderId="5022" xfId="0" applyNumberFormat="1" applyFont="1" applyBorder="1"/>
    <xf numFmtId="164" fontId="4687" fillId="0" borderId="5023" xfId="0" applyNumberFormat="1" applyFont="1" applyBorder="1"/>
    <xf numFmtId="164" fontId="4688" fillId="0" borderId="5024" xfId="0" applyNumberFormat="1" applyFont="1" applyBorder="1"/>
    <xf numFmtId="164" fontId="4589" fillId="0" borderId="4925" xfId="0" applyNumberFormat="1" applyFont="1" applyBorder="1"/>
    <xf numFmtId="164" fontId="4590" fillId="0" borderId="4926" xfId="0" applyNumberFormat="1" applyFont="1" applyBorder="1"/>
    <xf numFmtId="164" fontId="4591" fillId="0" borderId="4927" xfId="0" applyNumberFormat="1" applyFont="1" applyBorder="1"/>
    <xf numFmtId="164" fontId="4592" fillId="0" borderId="4928" xfId="0" applyNumberFormat="1" applyFont="1" applyBorder="1"/>
    <xf numFmtId="164" fontId="4593" fillId="0" borderId="4929" xfId="0" applyNumberFormat="1" applyFont="1" applyBorder="1"/>
    <xf numFmtId="164" fontId="4628" fillId="0" borderId="4964" xfId="0" applyNumberFormat="1" applyFont="1" applyBorder="1"/>
    <xf numFmtId="164" fontId="4629" fillId="0" borderId="4965" xfId="0" applyNumberFormat="1" applyFont="1" applyBorder="1"/>
    <xf numFmtId="164" fontId="4630" fillId="0" borderId="4966" xfId="0" applyNumberFormat="1" applyFont="1" applyBorder="1"/>
    <xf numFmtId="164" fontId="4631" fillId="0" borderId="4967" xfId="0" applyNumberFormat="1" applyFont="1" applyBorder="1"/>
    <xf numFmtId="164" fontId="4632" fillId="0" borderId="4968" xfId="0" applyNumberFormat="1" applyFont="1" applyBorder="1"/>
    <xf numFmtId="164" fontId="4665" fillId="0" borderId="5001" xfId="0" applyNumberFormat="1" applyFont="1" applyBorder="1"/>
    <xf numFmtId="164" fontId="4666" fillId="0" borderId="5002" xfId="0" applyNumberFormat="1" applyFont="1" applyBorder="1"/>
    <xf numFmtId="164" fontId="4667" fillId="0" borderId="5003" xfId="0" applyNumberFormat="1" applyFont="1" applyBorder="1"/>
    <xf numFmtId="164" fontId="4702" fillId="0" borderId="5038" xfId="0" applyNumberFormat="1" applyFont="1" applyBorder="1"/>
    <xf numFmtId="164" fontId="4703" fillId="0" borderId="5039" xfId="0" applyNumberFormat="1" applyFont="1" applyBorder="1"/>
    <xf numFmtId="164" fontId="4704" fillId="0" borderId="5040" xfId="0" applyNumberFormat="1" applyFont="1" applyBorder="1"/>
    <xf numFmtId="164" fontId="4705" fillId="0" borderId="5041" xfId="0" applyNumberFormat="1" applyFont="1" applyBorder="1"/>
    <xf numFmtId="164" fontId="4706" fillId="0" borderId="5042" xfId="0" applyNumberFormat="1" applyFont="1" applyBorder="1"/>
    <xf numFmtId="164" fontId="996" fillId="0" borderId="1080" xfId="0" applyNumberFormat="1" applyFont="1" applyBorder="1"/>
    <xf numFmtId="164" fontId="997" fillId="0" borderId="1081" xfId="0" applyNumberFormat="1" applyFont="1" applyBorder="1"/>
    <xf numFmtId="164" fontId="998" fillId="0" borderId="1082" xfId="0" applyNumberFormat="1" applyFont="1" applyBorder="1"/>
    <xf numFmtId="164" fontId="999" fillId="0" borderId="1083" xfId="0" applyNumberFormat="1" applyFont="1" applyBorder="1"/>
    <xf numFmtId="164" fontId="1000" fillId="0" borderId="1084" xfId="0" applyNumberFormat="1" applyFont="1" applyBorder="1"/>
    <xf numFmtId="164" fontId="1081" fillId="0" borderId="1172" xfId="0" applyNumberFormat="1" applyFont="1" applyBorder="1"/>
    <xf numFmtId="164" fontId="1082" fillId="0" borderId="1173" xfId="0" applyNumberFormat="1" applyFont="1" applyBorder="1"/>
    <xf numFmtId="164" fontId="1083" fillId="0" borderId="1174" xfId="0" applyNumberFormat="1" applyFont="1" applyBorder="1"/>
    <xf numFmtId="164" fontId="1084" fillId="0" borderId="1175" xfId="0" applyNumberFormat="1" applyFont="1" applyBorder="1"/>
    <xf numFmtId="164" fontId="1085" fillId="0" borderId="1176" xfId="0" applyNumberFormat="1" applyFont="1" applyBorder="1"/>
    <xf numFmtId="164" fontId="1166" fillId="0" borderId="1264" xfId="0" applyNumberFormat="1" applyFont="1" applyBorder="1"/>
    <xf numFmtId="164" fontId="1167" fillId="0" borderId="1265" xfId="0" applyNumberFormat="1" applyFont="1" applyBorder="1"/>
    <xf numFmtId="164" fontId="1168" fillId="0" borderId="1266" xfId="0" applyNumberFormat="1" applyFont="1" applyBorder="1"/>
    <xf numFmtId="164" fontId="1241" fillId="0" borderId="1346" xfId="0" applyNumberFormat="1" applyFont="1" applyBorder="1"/>
    <xf numFmtId="164" fontId="1242" fillId="0" borderId="1347" xfId="0" applyNumberFormat="1" applyFont="1" applyBorder="1"/>
    <xf numFmtId="164" fontId="1243" fillId="0" borderId="1348" xfId="0" applyNumberFormat="1" applyFont="1" applyBorder="1"/>
    <xf numFmtId="164" fontId="1244" fillId="0" borderId="1349" xfId="0" applyNumberFormat="1" applyFont="1" applyBorder="1"/>
    <xf numFmtId="164" fontId="1245" fillId="0" borderId="1350" xfId="0" applyNumberFormat="1" applyFont="1" applyBorder="1"/>
    <xf numFmtId="164" fontId="1016" fillId="0" borderId="1100" xfId="0" applyNumberFormat="1" applyFont="1" applyBorder="1"/>
    <xf numFmtId="164" fontId="1017" fillId="0" borderId="1101" xfId="0" applyNumberFormat="1" applyFont="1" applyBorder="1"/>
    <xf numFmtId="164" fontId="1018" fillId="0" borderId="1102" xfId="0" applyNumberFormat="1" applyFont="1" applyBorder="1"/>
    <xf numFmtId="164" fontId="1019" fillId="0" borderId="1103" xfId="0" applyNumberFormat="1" applyFont="1" applyBorder="1"/>
    <xf numFmtId="164" fontId="1020" fillId="0" borderId="1104" xfId="0" applyNumberFormat="1" applyFont="1" applyBorder="1"/>
    <xf numFmtId="164" fontId="1101" fillId="0" borderId="1192" xfId="0" applyNumberFormat="1" applyFont="1" applyBorder="1"/>
    <xf numFmtId="164" fontId="1102" fillId="0" borderId="1193" xfId="0" applyNumberFormat="1" applyFont="1" applyBorder="1"/>
    <xf numFmtId="164" fontId="1103" fillId="0" borderId="1194" xfId="0" applyNumberFormat="1" applyFont="1" applyBorder="1"/>
    <xf numFmtId="164" fontId="1104" fillId="0" borderId="1195" xfId="0" applyNumberFormat="1" applyFont="1" applyBorder="1"/>
    <xf numFmtId="164" fontId="1105" fillId="0" borderId="1196" xfId="0" applyNumberFormat="1" applyFont="1" applyBorder="1"/>
    <xf numFmtId="164" fontId="1184" fillId="0" borderId="1282" xfId="0" applyNumberFormat="1" applyFont="1" applyBorder="1"/>
    <xf numFmtId="164" fontId="1185" fillId="0" borderId="1283" xfId="0" applyNumberFormat="1" applyFont="1" applyBorder="1"/>
    <xf numFmtId="164" fontId="1186" fillId="0" borderId="1284" xfId="0" applyNumberFormat="1" applyFont="1" applyBorder="1"/>
    <xf numFmtId="164" fontId="1261" fillId="0" borderId="1366" xfId="0" applyNumberFormat="1" applyFont="1" applyBorder="1"/>
    <xf numFmtId="164" fontId="1262" fillId="0" borderId="1367" xfId="0" applyNumberFormat="1" applyFont="1" applyBorder="1"/>
    <xf numFmtId="164" fontId="1263" fillId="0" borderId="1368" xfId="0" applyNumberFormat="1" applyFont="1" applyBorder="1"/>
    <xf numFmtId="164" fontId="1264" fillId="0" borderId="1369" xfId="0" applyNumberFormat="1" applyFont="1" applyBorder="1"/>
    <xf numFmtId="164" fontId="1265" fillId="0" borderId="1370" xfId="0" applyNumberFormat="1" applyFont="1" applyBorder="1"/>
    <xf numFmtId="164" fontId="1036" fillId="0" borderId="1120" xfId="0" applyNumberFormat="1" applyFont="1" applyBorder="1"/>
    <xf numFmtId="164" fontId="1037" fillId="0" borderId="1121" xfId="0" applyNumberFormat="1" applyFont="1" applyBorder="1"/>
    <xf numFmtId="164" fontId="1038" fillId="0" borderId="1122" xfId="0" applyNumberFormat="1" applyFont="1" applyBorder="1"/>
    <xf numFmtId="164" fontId="1039" fillId="0" borderId="1123" xfId="0" applyNumberFormat="1" applyFont="1" applyBorder="1"/>
    <xf numFmtId="164" fontId="1040" fillId="0" borderId="1124" xfId="0" applyNumberFormat="1" applyFont="1" applyBorder="1"/>
    <xf numFmtId="164" fontId="1121" fillId="0" borderId="1212" xfId="0" applyNumberFormat="1" applyFont="1" applyBorder="1"/>
    <xf numFmtId="164" fontId="1122" fillId="0" borderId="1213" xfId="0" applyNumberFormat="1" applyFont="1" applyBorder="1"/>
    <xf numFmtId="164" fontId="1123" fillId="0" borderId="1214" xfId="0" applyNumberFormat="1" applyFont="1" applyBorder="1"/>
    <xf numFmtId="164" fontId="1124" fillId="0" borderId="1215" xfId="0" applyNumberFormat="1" applyFont="1" applyBorder="1"/>
    <xf numFmtId="164" fontId="1125" fillId="0" borderId="1216" xfId="0" applyNumberFormat="1" applyFont="1" applyBorder="1"/>
    <xf numFmtId="164" fontId="1202" fillId="0" borderId="1300" xfId="0" applyNumberFormat="1" applyFont="1" applyBorder="1"/>
    <xf numFmtId="164" fontId="1203" fillId="0" borderId="1301" xfId="0" applyNumberFormat="1" applyFont="1" applyBorder="1"/>
    <xf numFmtId="164" fontId="1204" fillId="0" borderId="1302" xfId="0" applyNumberFormat="1" applyFont="1" applyBorder="1"/>
    <xf numFmtId="164" fontId="1281" fillId="0" borderId="1386" xfId="0" applyNumberFormat="1" applyFont="1" applyBorder="1"/>
    <xf numFmtId="164" fontId="1282" fillId="0" borderId="1387" xfId="0" applyNumberFormat="1" applyFont="1" applyBorder="1"/>
    <xf numFmtId="164" fontId="1283" fillId="0" borderId="1388" xfId="0" applyNumberFormat="1" applyFont="1" applyBorder="1"/>
    <xf numFmtId="164" fontId="1284" fillId="0" borderId="1389" xfId="0" applyNumberFormat="1" applyFont="1" applyBorder="1"/>
    <xf numFmtId="164" fontId="1285" fillId="0" borderId="1390" xfId="0" applyNumberFormat="1" applyFont="1" applyBorder="1"/>
    <xf numFmtId="164" fontId="1055" fillId="0" borderId="1139" xfId="0" applyNumberFormat="1" applyFont="1" applyBorder="1"/>
    <xf numFmtId="164" fontId="1056" fillId="0" borderId="1140" xfId="0" applyNumberFormat="1" applyFont="1" applyBorder="1"/>
    <xf numFmtId="164" fontId="1057" fillId="0" borderId="1141" xfId="0" applyNumberFormat="1" applyFont="1" applyBorder="1"/>
    <xf numFmtId="164" fontId="1058" fillId="0" borderId="1142" xfId="0" applyNumberFormat="1" applyFont="1" applyBorder="1"/>
    <xf numFmtId="164" fontId="1059" fillId="0" borderId="1143" xfId="0" applyNumberFormat="1" applyFont="1" applyBorder="1"/>
    <xf numFmtId="164" fontId="1140" fillId="0" borderId="1231" xfId="0" applyNumberFormat="1" applyFont="1" applyBorder="1"/>
    <xf numFmtId="164" fontId="1141" fillId="0" borderId="1232" xfId="0" applyNumberFormat="1" applyFont="1" applyBorder="1"/>
    <xf numFmtId="164" fontId="1142" fillId="0" borderId="1233" xfId="0" applyNumberFormat="1" applyFont="1" applyBorder="1"/>
    <xf numFmtId="164" fontId="1143" fillId="0" borderId="1234" xfId="0" applyNumberFormat="1" applyFont="1" applyBorder="1"/>
    <xf numFmtId="164" fontId="1144" fillId="0" borderId="1235" xfId="0" applyNumberFormat="1" applyFont="1" applyBorder="1"/>
    <xf numFmtId="164" fontId="1219" fillId="0" borderId="1317" xfId="0" applyNumberFormat="1" applyFont="1" applyBorder="1"/>
    <xf numFmtId="164" fontId="1220" fillId="0" borderId="1318" xfId="0" applyNumberFormat="1" applyFont="1" applyBorder="1"/>
    <xf numFmtId="164" fontId="1221" fillId="0" borderId="1319" xfId="0" applyNumberFormat="1" applyFont="1" applyBorder="1"/>
    <xf numFmtId="164" fontId="1300" fillId="0" borderId="1405" xfId="0" applyNumberFormat="1" applyFont="1" applyBorder="1"/>
    <xf numFmtId="164" fontId="1301" fillId="0" borderId="1406" xfId="0" applyNumberFormat="1" applyFont="1" applyBorder="1"/>
    <xf numFmtId="164" fontId="1302" fillId="0" borderId="1407" xfId="0" applyNumberFormat="1" applyFont="1" applyBorder="1"/>
    <xf numFmtId="164" fontId="1303" fillId="0" borderId="1408" xfId="0" applyNumberFormat="1" applyFont="1" applyBorder="1"/>
    <xf numFmtId="164" fontId="1304" fillId="0" borderId="1409" xfId="0" applyNumberFormat="1" applyFont="1" applyBorder="1"/>
    <xf numFmtId="164" fontId="1067" fillId="0" borderId="1158" xfId="0" applyNumberFormat="1" applyFont="1" applyBorder="1"/>
    <xf numFmtId="164" fontId="1068" fillId="0" borderId="1159" xfId="0" applyNumberFormat="1" applyFont="1" applyBorder="1"/>
    <xf numFmtId="164" fontId="1069" fillId="0" borderId="1160" xfId="0" applyNumberFormat="1" applyFont="1" applyBorder="1"/>
    <xf numFmtId="164" fontId="1070" fillId="0" borderId="1161" xfId="0" applyNumberFormat="1" applyFont="1" applyBorder="1"/>
    <xf numFmtId="164" fontId="1071" fillId="0" borderId="1162" xfId="0" applyNumberFormat="1" applyFont="1" applyBorder="1"/>
    <xf numFmtId="164" fontId="1152" fillId="0" borderId="1250" xfId="0" applyNumberFormat="1" applyFont="1" applyBorder="1"/>
    <xf numFmtId="164" fontId="1153" fillId="0" borderId="1251" xfId="0" applyNumberFormat="1" applyFont="1" applyBorder="1"/>
    <xf numFmtId="164" fontId="1154" fillId="0" borderId="1252" xfId="0" applyNumberFormat="1" applyFont="1" applyBorder="1"/>
    <xf numFmtId="164" fontId="1155" fillId="0" borderId="1253" xfId="0" applyNumberFormat="1" applyFont="1" applyBorder="1"/>
    <xf numFmtId="164" fontId="1156" fillId="0" borderId="1254" xfId="0" applyNumberFormat="1" applyFont="1" applyBorder="1"/>
    <xf numFmtId="164" fontId="1229" fillId="0" borderId="1334" xfId="0" applyNumberFormat="1" applyFont="1" applyBorder="1"/>
    <xf numFmtId="164" fontId="1230" fillId="0" borderId="1335" xfId="0" applyNumberFormat="1" applyFont="1" applyBorder="1"/>
    <xf numFmtId="164" fontId="1231" fillId="0" borderId="1336" xfId="0" applyNumberFormat="1" applyFont="1" applyBorder="1"/>
    <xf numFmtId="164" fontId="1312" fillId="0" borderId="1424" xfId="0" applyNumberFormat="1" applyFont="1" applyBorder="1"/>
    <xf numFmtId="164" fontId="1313" fillId="0" borderId="1425" xfId="0" applyNumberFormat="1" applyFont="1" applyBorder="1"/>
    <xf numFmtId="164" fontId="1314" fillId="0" borderId="1426" xfId="0" applyNumberFormat="1" applyFont="1" applyBorder="1"/>
    <xf numFmtId="164" fontId="1315" fillId="0" borderId="1427" xfId="0" applyNumberFormat="1" applyFont="1" applyBorder="1"/>
    <xf numFmtId="164" fontId="1316" fillId="0" borderId="1428" xfId="0" applyNumberFormat="1" applyFont="1" applyBorder="1"/>
    <xf numFmtId="164" fontId="4419" fillId="0" borderId="4755" xfId="0" applyNumberFormat="1" applyFont="1" applyBorder="1"/>
    <xf numFmtId="164" fontId="4420" fillId="0" borderId="4756" xfId="0" applyNumberFormat="1" applyFont="1" applyBorder="1"/>
    <xf numFmtId="164" fontId="4421" fillId="0" borderId="4757" xfId="0" applyNumberFormat="1" applyFont="1" applyBorder="1"/>
    <xf numFmtId="164" fontId="4422" fillId="0" borderId="4758" xfId="0" applyNumberFormat="1" applyFont="1" applyBorder="1"/>
    <xf numFmtId="164" fontId="4423" fillId="0" borderId="4759" xfId="0" applyNumberFormat="1" applyFont="1" applyBorder="1"/>
    <xf numFmtId="164" fontId="4458" fillId="0" borderId="4794" xfId="0" applyNumberFormat="1" applyFont="1" applyBorder="1"/>
    <xf numFmtId="164" fontId="4459" fillId="0" borderId="4795" xfId="0" applyNumberFormat="1" applyFont="1" applyBorder="1"/>
    <xf numFmtId="164" fontId="4460" fillId="0" borderId="4796" xfId="0" applyNumberFormat="1" applyFont="1" applyBorder="1"/>
    <xf numFmtId="164" fontId="4461" fillId="0" borderId="4797" xfId="0" applyNumberFormat="1" applyFont="1" applyBorder="1"/>
    <xf numFmtId="164" fontId="4462" fillId="0" borderId="4798" xfId="0" applyNumberFormat="1" applyFont="1" applyBorder="1"/>
    <xf numFmtId="164" fontId="4497" fillId="0" borderId="4833" xfId="0" applyNumberFormat="1" applyFont="1" applyBorder="1"/>
    <xf numFmtId="164" fontId="4498" fillId="0" borderId="4834" xfId="0" applyNumberFormat="1" applyFont="1" applyBorder="1"/>
    <xf numFmtId="164" fontId="4499" fillId="0" borderId="4835" xfId="0" applyNumberFormat="1" applyFont="1" applyBorder="1"/>
    <xf numFmtId="164" fontId="4532" fillId="0" borderId="4868" xfId="0" applyNumberFormat="1" applyFont="1" applyBorder="1"/>
    <xf numFmtId="164" fontId="4533" fillId="0" borderId="4869" xfId="0" applyNumberFormat="1" applyFont="1" applyBorder="1"/>
    <xf numFmtId="164" fontId="4534" fillId="0" borderId="4870" xfId="0" applyNumberFormat="1" applyFont="1" applyBorder="1"/>
    <xf numFmtId="164" fontId="4535" fillId="0" borderId="4871" xfId="0" applyNumberFormat="1" applyFont="1" applyBorder="1"/>
    <xf numFmtId="164" fontId="4536" fillId="0" borderId="4872" xfId="0" applyNumberFormat="1" applyFont="1" applyBorder="1"/>
    <xf numFmtId="164" fontId="4437" fillId="0" borderId="4773" xfId="0" applyNumberFormat="1" applyFont="1" applyBorder="1"/>
    <xf numFmtId="164" fontId="4438" fillId="0" borderId="4774" xfId="0" applyNumberFormat="1" applyFont="1" applyBorder="1"/>
    <xf numFmtId="164" fontId="4439" fillId="0" borderId="4775" xfId="0" applyNumberFormat="1" applyFont="1" applyBorder="1"/>
    <xf numFmtId="164" fontId="4440" fillId="0" borderId="4776" xfId="0" applyNumberFormat="1" applyFont="1" applyBorder="1"/>
    <xf numFmtId="164" fontId="4441" fillId="0" borderId="4777" xfId="0" applyNumberFormat="1" applyFont="1" applyBorder="1"/>
    <xf numFmtId="164" fontId="4476" fillId="0" borderId="4812" xfId="0" applyNumberFormat="1" applyFont="1" applyBorder="1"/>
    <xf numFmtId="164" fontId="4477" fillId="0" borderId="4813" xfId="0" applyNumberFormat="1" applyFont="1" applyBorder="1"/>
    <xf numFmtId="164" fontId="4478" fillId="0" borderId="4814" xfId="0" applyNumberFormat="1" applyFont="1" applyBorder="1"/>
    <xf numFmtId="164" fontId="4479" fillId="0" borderId="4815" xfId="0" applyNumberFormat="1" applyFont="1" applyBorder="1"/>
    <xf numFmtId="164" fontId="4480" fillId="0" borderId="4816" xfId="0" applyNumberFormat="1" applyFont="1" applyBorder="1"/>
    <xf numFmtId="164" fontId="4513" fillId="0" borderId="4849" xfId="0" applyNumberFormat="1" applyFont="1" applyBorder="1"/>
    <xf numFmtId="164" fontId="4514" fillId="0" borderId="4850" xfId="0" applyNumberFormat="1" applyFont="1" applyBorder="1"/>
    <xf numFmtId="164" fontId="4515" fillId="0" borderId="4851" xfId="0" applyNumberFormat="1" applyFont="1" applyBorder="1"/>
    <xf numFmtId="164" fontId="4550" fillId="0" borderId="4886" xfId="0" applyNumberFormat="1" applyFont="1" applyBorder="1"/>
    <xf numFmtId="164" fontId="4551" fillId="0" borderId="4887" xfId="0" applyNumberFormat="1" applyFont="1" applyBorder="1"/>
    <xf numFmtId="164" fontId="4552" fillId="0" borderId="4888" xfId="0" applyNumberFormat="1" applyFont="1" applyBorder="1"/>
    <xf numFmtId="164" fontId="4553" fillId="0" borderId="4889" xfId="0" applyNumberFormat="1" applyFont="1" applyBorder="1"/>
    <xf numFmtId="164" fontId="4554" fillId="0" borderId="4890" xfId="0" applyNumberFormat="1" applyFont="1" applyBorder="1"/>
    <xf numFmtId="164" fontId="666" fillId="0" borderId="722" xfId="0" applyNumberFormat="1" applyFont="1" applyBorder="1"/>
    <xf numFmtId="164" fontId="667" fillId="0" borderId="723" xfId="0" applyNumberFormat="1" applyFont="1" applyBorder="1"/>
    <xf numFmtId="164" fontId="668" fillId="0" borderId="724" xfId="0" applyNumberFormat="1" applyFont="1" applyBorder="1"/>
    <xf numFmtId="164" fontId="669" fillId="0" borderId="725" xfId="0" applyNumberFormat="1" applyFont="1" applyBorder="1"/>
    <xf numFmtId="164" fontId="670" fillId="0" borderId="726" xfId="0" applyNumberFormat="1" applyFont="1" applyBorder="1"/>
    <xf numFmtId="164" fontId="751" fillId="0" borderId="814" xfId="0" applyNumberFormat="1" applyFont="1" applyBorder="1"/>
    <xf numFmtId="164" fontId="752" fillId="0" borderId="815" xfId="0" applyNumberFormat="1" applyFont="1" applyBorder="1"/>
    <xf numFmtId="164" fontId="753" fillId="0" borderId="816" xfId="0" applyNumberFormat="1" applyFont="1" applyBorder="1"/>
    <xf numFmtId="164" fontId="754" fillId="0" borderId="817" xfId="0" applyNumberFormat="1" applyFont="1" applyBorder="1"/>
    <xf numFmtId="164" fontId="755" fillId="0" borderId="818" xfId="0" applyNumberFormat="1" applyFont="1" applyBorder="1"/>
    <xf numFmtId="164" fontId="836" fillId="0" borderId="906" xfId="0" applyNumberFormat="1" applyFont="1" applyBorder="1"/>
    <xf numFmtId="164" fontId="837" fillId="0" borderId="907" xfId="0" applyNumberFormat="1" applyFont="1" applyBorder="1"/>
    <xf numFmtId="164" fontId="838" fillId="0" borderId="908" xfId="0" applyNumberFormat="1" applyFont="1" applyBorder="1"/>
    <xf numFmtId="164" fontId="911" fillId="0" borderId="988" xfId="0" applyNumberFormat="1" applyFont="1" applyBorder="1"/>
    <xf numFmtId="164" fontId="912" fillId="0" borderId="989" xfId="0" applyNumberFormat="1" applyFont="1" applyBorder="1"/>
    <xf numFmtId="164" fontId="913" fillId="0" borderId="990" xfId="0" applyNumberFormat="1" applyFont="1" applyBorder="1"/>
    <xf numFmtId="164" fontId="914" fillId="0" borderId="991" xfId="0" applyNumberFormat="1" applyFont="1" applyBorder="1"/>
    <xf numFmtId="164" fontId="915" fillId="0" borderId="992" xfId="0" applyNumberFormat="1" applyFont="1" applyBorder="1"/>
    <xf numFmtId="164" fontId="686" fillId="0" borderId="742" xfId="0" applyNumberFormat="1" applyFont="1" applyBorder="1"/>
    <xf numFmtId="164" fontId="687" fillId="0" borderId="743" xfId="0" applyNumberFormat="1" applyFont="1" applyBorder="1"/>
    <xf numFmtId="164" fontId="688" fillId="0" borderId="744" xfId="0" applyNumberFormat="1" applyFont="1" applyBorder="1"/>
    <xf numFmtId="164" fontId="689" fillId="0" borderId="745" xfId="0" applyNumberFormat="1" applyFont="1" applyBorder="1"/>
    <xf numFmtId="164" fontId="690" fillId="0" borderId="746" xfId="0" applyNumberFormat="1" applyFont="1" applyBorder="1"/>
    <xf numFmtId="164" fontId="771" fillId="0" borderId="834" xfId="0" applyNumberFormat="1" applyFont="1" applyBorder="1"/>
    <xf numFmtId="164" fontId="772" fillId="0" borderId="835" xfId="0" applyNumberFormat="1" applyFont="1" applyBorder="1"/>
    <xf numFmtId="164" fontId="773" fillId="0" borderId="836" xfId="0" applyNumberFormat="1" applyFont="1" applyBorder="1"/>
    <xf numFmtId="164" fontId="774" fillId="0" borderId="837" xfId="0" applyNumberFormat="1" applyFont="1" applyBorder="1"/>
    <xf numFmtId="164" fontId="775" fillId="0" borderId="838" xfId="0" applyNumberFormat="1" applyFont="1" applyBorder="1"/>
    <xf numFmtId="164" fontId="854" fillId="0" borderId="924" xfId="0" applyNumberFormat="1" applyFont="1" applyBorder="1"/>
    <xf numFmtId="164" fontId="855" fillId="0" borderId="925" xfId="0" applyNumberFormat="1" applyFont="1" applyBorder="1"/>
    <xf numFmtId="164" fontId="856" fillId="0" borderId="926" xfId="0" applyNumberFormat="1" applyFont="1" applyBorder="1"/>
    <xf numFmtId="164" fontId="931" fillId="0" borderId="1008" xfId="0" applyNumberFormat="1" applyFont="1" applyBorder="1"/>
    <xf numFmtId="164" fontId="932" fillId="0" borderId="1009" xfId="0" applyNumberFormat="1" applyFont="1" applyBorder="1"/>
    <xf numFmtId="164" fontId="933" fillId="0" borderId="1010" xfId="0" applyNumberFormat="1" applyFont="1" applyBorder="1"/>
    <xf numFmtId="164" fontId="934" fillId="0" borderId="1011" xfId="0" applyNumberFormat="1" applyFont="1" applyBorder="1"/>
    <xf numFmtId="164" fontId="935" fillId="0" borderId="1012" xfId="0" applyNumberFormat="1" applyFont="1" applyBorder="1"/>
    <xf numFmtId="164" fontId="706" fillId="0" borderId="762" xfId="0" applyNumberFormat="1" applyFont="1" applyBorder="1"/>
    <xf numFmtId="164" fontId="707" fillId="0" borderId="763" xfId="0" applyNumberFormat="1" applyFont="1" applyBorder="1"/>
    <xf numFmtId="164" fontId="708" fillId="0" borderId="764" xfId="0" applyNumberFormat="1" applyFont="1" applyBorder="1"/>
    <xf numFmtId="164" fontId="709" fillId="0" borderId="765" xfId="0" applyNumberFormat="1" applyFont="1" applyBorder="1"/>
    <xf numFmtId="164" fontId="710" fillId="0" borderId="766" xfId="0" applyNumberFormat="1" applyFont="1" applyBorder="1"/>
    <xf numFmtId="164" fontId="791" fillId="0" borderId="854" xfId="0" applyNumberFormat="1" applyFont="1" applyBorder="1"/>
    <xf numFmtId="164" fontId="792" fillId="0" borderId="855" xfId="0" applyNumberFormat="1" applyFont="1" applyBorder="1"/>
    <xf numFmtId="164" fontId="793" fillId="0" borderId="856" xfId="0" applyNumberFormat="1" applyFont="1" applyBorder="1"/>
    <xf numFmtId="164" fontId="794" fillId="0" borderId="857" xfId="0" applyNumberFormat="1" applyFont="1" applyBorder="1"/>
    <xf numFmtId="164" fontId="795" fillId="0" borderId="858" xfId="0" applyNumberFormat="1" applyFont="1" applyBorder="1"/>
    <xf numFmtId="164" fontId="872" fillId="0" borderId="942" xfId="0" applyNumberFormat="1" applyFont="1" applyBorder="1"/>
    <xf numFmtId="164" fontId="873" fillId="0" borderId="943" xfId="0" applyNumberFormat="1" applyFont="1" applyBorder="1"/>
    <xf numFmtId="164" fontId="874" fillId="0" borderId="944" xfId="0" applyNumberFormat="1" applyFont="1" applyBorder="1"/>
    <xf numFmtId="164" fontId="951" fillId="0" borderId="1028" xfId="0" applyNumberFormat="1" applyFont="1" applyBorder="1"/>
    <xf numFmtId="164" fontId="952" fillId="0" borderId="1029" xfId="0" applyNumberFormat="1" applyFont="1" applyBorder="1"/>
    <xf numFmtId="164" fontId="953" fillId="0" borderId="1030" xfId="0" applyNumberFormat="1" applyFont="1" applyBorder="1"/>
    <xf numFmtId="164" fontId="954" fillId="0" borderId="1031" xfId="0" applyNumberFormat="1" applyFont="1" applyBorder="1"/>
    <xf numFmtId="164" fontId="955" fillId="0" borderId="1032" xfId="0" applyNumberFormat="1" applyFont="1" applyBorder="1"/>
    <xf numFmtId="164" fontId="725" fillId="0" borderId="781" xfId="0" applyNumberFormat="1" applyFont="1" applyBorder="1"/>
    <xf numFmtId="164" fontId="726" fillId="0" borderId="782" xfId="0" applyNumberFormat="1" applyFont="1" applyBorder="1"/>
    <xf numFmtId="164" fontId="727" fillId="0" borderId="783" xfId="0" applyNumberFormat="1" applyFont="1" applyBorder="1"/>
    <xf numFmtId="164" fontId="728" fillId="0" borderId="784" xfId="0" applyNumberFormat="1" applyFont="1" applyBorder="1"/>
    <xf numFmtId="164" fontId="729" fillId="0" borderId="785" xfId="0" applyNumberFormat="1" applyFont="1" applyBorder="1"/>
    <xf numFmtId="164" fontId="810" fillId="0" borderId="873" xfId="0" applyNumberFormat="1" applyFont="1" applyBorder="1"/>
    <xf numFmtId="164" fontId="811" fillId="0" borderId="874" xfId="0" applyNumberFormat="1" applyFont="1" applyBorder="1"/>
    <xf numFmtId="164" fontId="812" fillId="0" borderId="875" xfId="0" applyNumberFormat="1" applyFont="1" applyBorder="1"/>
    <xf numFmtId="164" fontId="813" fillId="0" borderId="876" xfId="0" applyNumberFormat="1" applyFont="1" applyBorder="1"/>
    <xf numFmtId="164" fontId="814" fillId="0" borderId="877" xfId="0" applyNumberFormat="1" applyFont="1" applyBorder="1"/>
    <xf numFmtId="164" fontId="889" fillId="0" borderId="959" xfId="0" applyNumberFormat="1" applyFont="1" applyBorder="1"/>
    <xf numFmtId="164" fontId="890" fillId="0" borderId="960" xfId="0" applyNumberFormat="1" applyFont="1" applyBorder="1"/>
    <xf numFmtId="164" fontId="891" fillId="0" borderId="961" xfId="0" applyNumberFormat="1" applyFont="1" applyBorder="1"/>
    <xf numFmtId="164" fontId="970" fillId="0" borderId="1047" xfId="0" applyNumberFormat="1" applyFont="1" applyBorder="1"/>
    <xf numFmtId="164" fontId="971" fillId="0" borderId="1048" xfId="0" applyNumberFormat="1" applyFont="1" applyBorder="1"/>
    <xf numFmtId="164" fontId="972" fillId="0" borderId="1049" xfId="0" applyNumberFormat="1" applyFont="1" applyBorder="1"/>
    <xf numFmtId="164" fontId="973" fillId="0" borderId="1050" xfId="0" applyNumberFormat="1" applyFont="1" applyBorder="1"/>
    <xf numFmtId="164" fontId="974" fillId="0" borderId="1051" xfId="0" applyNumberFormat="1" applyFont="1" applyBorder="1"/>
    <xf numFmtId="164" fontId="737" fillId="0" borderId="800" xfId="0" applyNumberFormat="1" applyFont="1" applyBorder="1"/>
    <xf numFmtId="164" fontId="738" fillId="0" borderId="801" xfId="0" applyNumberFormat="1" applyFont="1" applyBorder="1"/>
    <xf numFmtId="164" fontId="739" fillId="0" borderId="802" xfId="0" applyNumberFormat="1" applyFont="1" applyBorder="1"/>
    <xf numFmtId="164" fontId="740" fillId="0" borderId="803" xfId="0" applyNumberFormat="1" applyFont="1" applyBorder="1"/>
    <xf numFmtId="164" fontId="741" fillId="0" borderId="804" xfId="0" applyNumberFormat="1" applyFont="1" applyBorder="1"/>
    <xf numFmtId="164" fontId="822" fillId="0" borderId="892" xfId="0" applyNumberFormat="1" applyFont="1" applyBorder="1"/>
    <xf numFmtId="164" fontId="823" fillId="0" borderId="893" xfId="0" applyNumberFormat="1" applyFont="1" applyBorder="1"/>
    <xf numFmtId="164" fontId="824" fillId="0" borderId="894" xfId="0" applyNumberFormat="1" applyFont="1" applyBorder="1"/>
    <xf numFmtId="164" fontId="825" fillId="0" borderId="895" xfId="0" applyNumberFormat="1" applyFont="1" applyBorder="1"/>
    <xf numFmtId="164" fontId="826" fillId="0" borderId="896" xfId="0" applyNumberFormat="1" applyFont="1" applyBorder="1"/>
    <xf numFmtId="164" fontId="899" fillId="0" borderId="976" xfId="0" applyNumberFormat="1" applyFont="1" applyBorder="1"/>
    <xf numFmtId="164" fontId="900" fillId="0" borderId="977" xfId="0" applyNumberFormat="1" applyFont="1" applyBorder="1"/>
    <xf numFmtId="164" fontId="901" fillId="0" borderId="978" xfId="0" applyNumberFormat="1" applyFont="1" applyBorder="1"/>
    <xf numFmtId="164" fontId="982" fillId="0" borderId="1066" xfId="0" applyNumberFormat="1" applyFont="1" applyBorder="1"/>
    <xf numFmtId="164" fontId="983" fillId="0" borderId="1067" xfId="0" applyNumberFormat="1" applyFont="1" applyBorder="1"/>
    <xf numFmtId="164" fontId="984" fillId="0" borderId="1068" xfId="0" applyNumberFormat="1" applyFont="1" applyBorder="1"/>
    <xf numFmtId="164" fontId="985" fillId="0" borderId="1069" xfId="0" applyNumberFormat="1" applyFont="1" applyBorder="1"/>
    <xf numFmtId="164" fontId="986" fillId="0" borderId="1070" xfId="0" applyNumberFormat="1" applyFont="1" applyBorder="1"/>
    <xf numFmtId="164" fontId="4267" fillId="0" borderId="4603" xfId="0" applyNumberFormat="1" applyFont="1" applyBorder="1"/>
    <xf numFmtId="164" fontId="4268" fillId="0" borderId="4604" xfId="0" applyNumberFormat="1" applyFont="1" applyBorder="1"/>
    <xf numFmtId="164" fontId="4269" fillId="0" borderId="4605" xfId="0" applyNumberFormat="1" applyFont="1" applyBorder="1"/>
    <xf numFmtId="164" fontId="4270" fillId="0" borderId="4606" xfId="0" applyNumberFormat="1" applyFont="1" applyBorder="1"/>
    <xf numFmtId="164" fontId="4271" fillId="0" borderId="4607" xfId="0" applyNumberFormat="1" applyFont="1" applyBorder="1"/>
    <xf numFmtId="164" fontId="4306" fillId="0" borderId="4642" xfId="0" applyNumberFormat="1" applyFont="1" applyBorder="1"/>
    <xf numFmtId="164" fontId="4307" fillId="0" borderId="4643" xfId="0" applyNumberFormat="1" applyFont="1" applyBorder="1"/>
    <xf numFmtId="164" fontId="4308" fillId="0" borderId="4644" xfId="0" applyNumberFormat="1" applyFont="1" applyBorder="1"/>
    <xf numFmtId="164" fontId="4309" fillId="0" borderId="4645" xfId="0" applyNumberFormat="1" applyFont="1" applyBorder="1"/>
    <xf numFmtId="164" fontId="4310" fillId="0" borderId="4646" xfId="0" applyNumberFormat="1" applyFont="1" applyBorder="1"/>
    <xf numFmtId="164" fontId="4345" fillId="0" borderId="4681" xfId="0" applyNumberFormat="1" applyFont="1" applyBorder="1"/>
    <xf numFmtId="164" fontId="4346" fillId="0" borderId="4682" xfId="0" applyNumberFormat="1" applyFont="1" applyBorder="1"/>
    <xf numFmtId="164" fontId="4347" fillId="0" borderId="4683" xfId="0" applyNumberFormat="1" applyFont="1" applyBorder="1"/>
    <xf numFmtId="164" fontId="4380" fillId="0" borderId="4716" xfId="0" applyNumberFormat="1" applyFont="1" applyBorder="1"/>
    <xf numFmtId="164" fontId="4381" fillId="0" borderId="4717" xfId="0" applyNumberFormat="1" applyFont="1" applyBorder="1"/>
    <xf numFmtId="164" fontId="4382" fillId="0" borderId="4718" xfId="0" applyNumberFormat="1" applyFont="1" applyBorder="1"/>
    <xf numFmtId="164" fontId="4383" fillId="0" borderId="4719" xfId="0" applyNumberFormat="1" applyFont="1" applyBorder="1"/>
    <xf numFmtId="164" fontId="4384" fillId="0" borderId="4720" xfId="0" applyNumberFormat="1" applyFont="1" applyBorder="1"/>
    <xf numFmtId="164" fontId="4285" fillId="0" borderId="4621" xfId="0" applyNumberFormat="1" applyFont="1" applyBorder="1"/>
    <xf numFmtId="164" fontId="4286" fillId="0" borderId="4622" xfId="0" applyNumberFormat="1" applyFont="1" applyBorder="1"/>
    <xf numFmtId="164" fontId="4287" fillId="0" borderId="4623" xfId="0" applyNumberFormat="1" applyFont="1" applyBorder="1"/>
    <xf numFmtId="164" fontId="4288" fillId="0" borderId="4624" xfId="0" applyNumberFormat="1" applyFont="1" applyBorder="1"/>
    <xf numFmtId="164" fontId="4289" fillId="0" borderId="4625" xfId="0" applyNumberFormat="1" applyFont="1" applyBorder="1"/>
    <xf numFmtId="164" fontId="4324" fillId="0" borderId="4660" xfId="0" applyNumberFormat="1" applyFont="1" applyBorder="1"/>
    <xf numFmtId="164" fontId="4325" fillId="0" borderId="4661" xfId="0" applyNumberFormat="1" applyFont="1" applyBorder="1"/>
    <xf numFmtId="164" fontId="4326" fillId="0" borderId="4662" xfId="0" applyNumberFormat="1" applyFont="1" applyBorder="1"/>
    <xf numFmtId="164" fontId="4327" fillId="0" borderId="4663" xfId="0" applyNumberFormat="1" applyFont="1" applyBorder="1"/>
    <xf numFmtId="164" fontId="4328" fillId="0" borderId="4664" xfId="0" applyNumberFormat="1" applyFont="1" applyBorder="1"/>
    <xf numFmtId="164" fontId="4361" fillId="0" borderId="4697" xfId="0" applyNumberFormat="1" applyFont="1" applyBorder="1"/>
    <xf numFmtId="164" fontId="4362" fillId="0" borderId="4698" xfId="0" applyNumberFormat="1" applyFont="1" applyBorder="1"/>
    <xf numFmtId="164" fontId="4363" fillId="0" borderId="4699" xfId="0" applyNumberFormat="1" applyFont="1" applyBorder="1"/>
    <xf numFmtId="164" fontId="4398" fillId="0" borderId="4734" xfId="0" applyNumberFormat="1" applyFont="1" applyBorder="1"/>
    <xf numFmtId="164" fontId="4399" fillId="0" borderId="4735" xfId="0" applyNumberFormat="1" applyFont="1" applyBorder="1"/>
    <xf numFmtId="164" fontId="4400" fillId="0" borderId="4736" xfId="0" applyNumberFormat="1" applyFont="1" applyBorder="1"/>
    <xf numFmtId="164" fontId="4401" fillId="0" borderId="4737" xfId="0" applyNumberFormat="1" applyFont="1" applyBorder="1"/>
    <xf numFmtId="164" fontId="4402" fillId="0" borderId="4738" xfId="0" applyNumberFormat="1" applyFont="1" applyBorder="1"/>
    <xf numFmtId="164" fontId="336" fillId="0" borderId="364" xfId="0" applyNumberFormat="1" applyFont="1" applyBorder="1"/>
    <xf numFmtId="164" fontId="337" fillId="0" borderId="365" xfId="0" applyNumberFormat="1" applyFont="1" applyBorder="1"/>
    <xf numFmtId="164" fontId="338" fillId="0" borderId="366" xfId="0" applyNumberFormat="1" applyFont="1" applyBorder="1"/>
    <xf numFmtId="164" fontId="339" fillId="0" borderId="367" xfId="0" applyNumberFormat="1" applyFont="1" applyBorder="1"/>
    <xf numFmtId="164" fontId="340" fillId="0" borderId="368" xfId="0" applyNumberFormat="1" applyFont="1" applyBorder="1"/>
    <xf numFmtId="164" fontId="421" fillId="0" borderId="456" xfId="0" applyNumberFormat="1" applyFont="1" applyBorder="1"/>
    <xf numFmtId="164" fontId="422" fillId="0" borderId="457" xfId="0" applyNumberFormat="1" applyFont="1" applyBorder="1"/>
    <xf numFmtId="164" fontId="423" fillId="0" borderId="458" xfId="0" applyNumberFormat="1" applyFont="1" applyBorder="1"/>
    <xf numFmtId="164" fontId="424" fillId="0" borderId="459" xfId="0" applyNumberFormat="1" applyFont="1" applyBorder="1"/>
    <xf numFmtId="164" fontId="425" fillId="0" borderId="460" xfId="0" applyNumberFormat="1" applyFont="1" applyBorder="1"/>
    <xf numFmtId="164" fontId="506" fillId="0" borderId="548" xfId="0" applyNumberFormat="1" applyFont="1" applyBorder="1"/>
    <xf numFmtId="164" fontId="507" fillId="0" borderId="549" xfId="0" applyNumberFormat="1" applyFont="1" applyBorder="1"/>
    <xf numFmtId="164" fontId="508" fillId="0" borderId="550" xfId="0" applyNumberFormat="1" applyFont="1" applyBorder="1"/>
    <xf numFmtId="164" fontId="581" fillId="0" borderId="630" xfId="0" applyNumberFormat="1" applyFont="1" applyBorder="1"/>
    <xf numFmtId="164" fontId="582" fillId="0" borderId="631" xfId="0" applyNumberFormat="1" applyFont="1" applyBorder="1"/>
    <xf numFmtId="164" fontId="583" fillId="0" borderId="632" xfId="0" applyNumberFormat="1" applyFont="1" applyBorder="1"/>
    <xf numFmtId="164" fontId="584" fillId="0" borderId="633" xfId="0" applyNumberFormat="1" applyFont="1" applyBorder="1"/>
    <xf numFmtId="164" fontId="585" fillId="0" borderId="634" xfId="0" applyNumberFormat="1" applyFont="1" applyBorder="1"/>
    <xf numFmtId="164" fontId="356" fillId="0" borderId="384" xfId="0" applyNumberFormat="1" applyFont="1" applyBorder="1"/>
    <xf numFmtId="164" fontId="357" fillId="0" borderId="385" xfId="0" applyNumberFormat="1" applyFont="1" applyBorder="1"/>
    <xf numFmtId="164" fontId="358" fillId="0" borderId="386" xfId="0" applyNumberFormat="1" applyFont="1" applyBorder="1"/>
    <xf numFmtId="164" fontId="359" fillId="0" borderId="387" xfId="0" applyNumberFormat="1" applyFont="1" applyBorder="1"/>
    <xf numFmtId="164" fontId="360" fillId="0" borderId="388" xfId="0" applyNumberFormat="1" applyFont="1" applyBorder="1"/>
    <xf numFmtId="164" fontId="441" fillId="0" borderId="476" xfId="0" applyNumberFormat="1" applyFont="1" applyBorder="1"/>
    <xf numFmtId="164" fontId="442" fillId="0" borderId="477" xfId="0" applyNumberFormat="1" applyFont="1" applyBorder="1"/>
    <xf numFmtId="164" fontId="443" fillId="0" borderId="478" xfId="0" applyNumberFormat="1" applyFont="1" applyBorder="1"/>
    <xf numFmtId="164" fontId="444" fillId="0" borderId="479" xfId="0" applyNumberFormat="1" applyFont="1" applyBorder="1"/>
    <xf numFmtId="164" fontId="445" fillId="0" borderId="480" xfId="0" applyNumberFormat="1" applyFont="1" applyBorder="1"/>
    <xf numFmtId="164" fontId="524" fillId="0" borderId="566" xfId="0" applyNumberFormat="1" applyFont="1" applyBorder="1"/>
    <xf numFmtId="164" fontId="525" fillId="0" borderId="567" xfId="0" applyNumberFormat="1" applyFont="1" applyBorder="1"/>
    <xf numFmtId="164" fontId="526" fillId="0" borderId="568" xfId="0" applyNumberFormat="1" applyFont="1" applyBorder="1"/>
    <xf numFmtId="164" fontId="601" fillId="0" borderId="650" xfId="0" applyNumberFormat="1" applyFont="1" applyBorder="1"/>
    <xf numFmtId="164" fontId="602" fillId="0" borderId="651" xfId="0" applyNumberFormat="1" applyFont="1" applyBorder="1"/>
    <xf numFmtId="164" fontId="603" fillId="0" borderId="652" xfId="0" applyNumberFormat="1" applyFont="1" applyBorder="1"/>
    <xf numFmtId="164" fontId="604" fillId="0" borderId="653" xfId="0" applyNumberFormat="1" applyFont="1" applyBorder="1"/>
    <xf numFmtId="164" fontId="605" fillId="0" borderId="654" xfId="0" applyNumberFormat="1" applyFont="1" applyBorder="1"/>
    <xf numFmtId="164" fontId="376" fillId="0" borderId="404" xfId="0" applyNumberFormat="1" applyFont="1" applyBorder="1"/>
    <xf numFmtId="164" fontId="377" fillId="0" borderId="405" xfId="0" applyNumberFormat="1" applyFont="1" applyBorder="1"/>
    <xf numFmtId="164" fontId="378" fillId="0" borderId="406" xfId="0" applyNumberFormat="1" applyFont="1" applyBorder="1"/>
    <xf numFmtId="164" fontId="379" fillId="0" borderId="407" xfId="0" applyNumberFormat="1" applyFont="1" applyBorder="1"/>
    <xf numFmtId="164" fontId="380" fillId="0" borderId="408" xfId="0" applyNumberFormat="1" applyFont="1" applyBorder="1"/>
    <xf numFmtId="164" fontId="461" fillId="0" borderId="496" xfId="0" applyNumberFormat="1" applyFont="1" applyBorder="1"/>
    <xf numFmtId="164" fontId="462" fillId="0" borderId="497" xfId="0" applyNumberFormat="1" applyFont="1" applyBorder="1"/>
    <xf numFmtId="164" fontId="463" fillId="0" borderId="498" xfId="0" applyNumberFormat="1" applyFont="1" applyBorder="1"/>
    <xf numFmtId="164" fontId="464" fillId="0" borderId="499" xfId="0" applyNumberFormat="1" applyFont="1" applyBorder="1"/>
    <xf numFmtId="164" fontId="465" fillId="0" borderId="500" xfId="0" applyNumberFormat="1" applyFont="1" applyBorder="1"/>
    <xf numFmtId="164" fontId="542" fillId="0" borderId="584" xfId="0" applyNumberFormat="1" applyFont="1" applyBorder="1"/>
    <xf numFmtId="164" fontId="543" fillId="0" borderId="585" xfId="0" applyNumberFormat="1" applyFont="1" applyBorder="1"/>
    <xf numFmtId="164" fontId="544" fillId="0" borderId="586" xfId="0" applyNumberFormat="1" applyFont="1" applyBorder="1"/>
    <xf numFmtId="164" fontId="621" fillId="0" borderId="670" xfId="0" applyNumberFormat="1" applyFont="1" applyBorder="1"/>
    <xf numFmtId="164" fontId="622" fillId="0" borderId="671" xfId="0" applyNumberFormat="1" applyFont="1" applyBorder="1"/>
    <xf numFmtId="164" fontId="623" fillId="0" borderId="672" xfId="0" applyNumberFormat="1" applyFont="1" applyBorder="1"/>
    <xf numFmtId="164" fontId="624" fillId="0" borderId="673" xfId="0" applyNumberFormat="1" applyFont="1" applyBorder="1"/>
    <xf numFmtId="164" fontId="625" fillId="0" borderId="674" xfId="0" applyNumberFormat="1" applyFont="1" applyBorder="1"/>
    <xf numFmtId="164" fontId="395" fillId="0" borderId="423" xfId="0" applyNumberFormat="1" applyFont="1" applyBorder="1"/>
    <xf numFmtId="164" fontId="396" fillId="0" borderId="424" xfId="0" applyNumberFormat="1" applyFont="1" applyBorder="1"/>
    <xf numFmtId="164" fontId="397" fillId="0" borderId="425" xfId="0" applyNumberFormat="1" applyFont="1" applyBorder="1"/>
    <xf numFmtId="164" fontId="398" fillId="0" borderId="426" xfId="0" applyNumberFormat="1" applyFont="1" applyBorder="1"/>
    <xf numFmtId="164" fontId="399" fillId="0" borderId="427" xfId="0" applyNumberFormat="1" applyFont="1" applyBorder="1"/>
    <xf numFmtId="164" fontId="480" fillId="0" borderId="515" xfId="0" applyNumberFormat="1" applyFont="1" applyBorder="1"/>
    <xf numFmtId="164" fontId="481" fillId="0" borderId="516" xfId="0" applyNumberFormat="1" applyFont="1" applyBorder="1"/>
    <xf numFmtId="164" fontId="482" fillId="0" borderId="517" xfId="0" applyNumberFormat="1" applyFont="1" applyBorder="1"/>
    <xf numFmtId="164" fontId="483" fillId="0" borderId="518" xfId="0" applyNumberFormat="1" applyFont="1" applyBorder="1"/>
    <xf numFmtId="164" fontId="484" fillId="0" borderId="519" xfId="0" applyNumberFormat="1" applyFont="1" applyBorder="1"/>
    <xf numFmtId="164" fontId="559" fillId="0" borderId="601" xfId="0" applyNumberFormat="1" applyFont="1" applyBorder="1"/>
    <xf numFmtId="164" fontId="560" fillId="0" borderId="602" xfId="0" applyNumberFormat="1" applyFont="1" applyBorder="1"/>
    <xf numFmtId="164" fontId="561" fillId="0" borderId="603" xfId="0" applyNumberFormat="1" applyFont="1" applyBorder="1"/>
    <xf numFmtId="164" fontId="640" fillId="0" borderId="689" xfId="0" applyNumberFormat="1" applyFont="1" applyBorder="1"/>
    <xf numFmtId="164" fontId="641" fillId="0" borderId="690" xfId="0" applyNumberFormat="1" applyFont="1" applyBorder="1"/>
    <xf numFmtId="164" fontId="642" fillId="0" borderId="691" xfId="0" applyNumberFormat="1" applyFont="1" applyBorder="1"/>
    <xf numFmtId="164" fontId="643" fillId="0" borderId="692" xfId="0" applyNumberFormat="1" applyFont="1" applyBorder="1"/>
    <xf numFmtId="164" fontId="644" fillId="0" borderId="693" xfId="0" applyNumberFormat="1" applyFont="1" applyBorder="1"/>
    <xf numFmtId="164" fontId="407" fillId="0" borderId="442" xfId="0" applyNumberFormat="1" applyFont="1" applyBorder="1"/>
    <xf numFmtId="164" fontId="408" fillId="0" borderId="443" xfId="0" applyNumberFormat="1" applyFont="1" applyBorder="1"/>
    <xf numFmtId="164" fontId="409" fillId="0" borderId="444" xfId="0" applyNumberFormat="1" applyFont="1" applyBorder="1"/>
    <xf numFmtId="164" fontId="410" fillId="0" borderId="445" xfId="0" applyNumberFormat="1" applyFont="1" applyBorder="1"/>
    <xf numFmtId="164" fontId="411" fillId="0" borderId="446" xfId="0" applyNumberFormat="1" applyFont="1" applyBorder="1"/>
    <xf numFmtId="164" fontId="492" fillId="0" borderId="534" xfId="0" applyNumberFormat="1" applyFont="1" applyBorder="1"/>
    <xf numFmtId="164" fontId="493" fillId="0" borderId="535" xfId="0" applyNumberFormat="1" applyFont="1" applyBorder="1"/>
    <xf numFmtId="164" fontId="494" fillId="0" borderId="536" xfId="0" applyNumberFormat="1" applyFont="1" applyBorder="1"/>
    <xf numFmtId="164" fontId="495" fillId="0" borderId="537" xfId="0" applyNumberFormat="1" applyFont="1" applyBorder="1"/>
    <xf numFmtId="164" fontId="496" fillId="0" borderId="538" xfId="0" applyNumberFormat="1" applyFont="1" applyBorder="1"/>
    <xf numFmtId="164" fontId="569" fillId="0" borderId="618" xfId="0" applyNumberFormat="1" applyFont="1" applyBorder="1"/>
    <xf numFmtId="164" fontId="570" fillId="0" borderId="619" xfId="0" applyNumberFormat="1" applyFont="1" applyBorder="1"/>
    <xf numFmtId="164" fontId="571" fillId="0" borderId="620" xfId="0" applyNumberFormat="1" applyFont="1" applyBorder="1"/>
    <xf numFmtId="164" fontId="652" fillId="0" borderId="708" xfId="0" applyNumberFormat="1" applyFont="1" applyBorder="1"/>
    <xf numFmtId="164" fontId="653" fillId="0" borderId="709" xfId="0" applyNumberFormat="1" applyFont="1" applyBorder="1"/>
    <xf numFmtId="164" fontId="654" fillId="0" borderId="710" xfId="0" applyNumberFormat="1" applyFont="1" applyBorder="1"/>
    <xf numFmtId="164" fontId="655" fillId="0" borderId="711" xfId="0" applyNumberFormat="1" applyFont="1" applyBorder="1"/>
    <xf numFmtId="164" fontId="656" fillId="0" borderId="712" xfId="0" applyNumberFormat="1" applyFont="1" applyBorder="1"/>
    <xf numFmtId="164" fontId="4115" fillId="0" borderId="4451" xfId="0" applyNumberFormat="1" applyFont="1" applyBorder="1"/>
    <xf numFmtId="164" fontId="4116" fillId="0" borderId="4452" xfId="0" applyNumberFormat="1" applyFont="1" applyBorder="1"/>
    <xf numFmtId="164" fontId="4117" fillId="0" borderId="4453" xfId="0" applyNumberFormat="1" applyFont="1" applyBorder="1"/>
    <xf numFmtId="164" fontId="4118" fillId="0" borderId="4454" xfId="0" applyNumberFormat="1" applyFont="1" applyBorder="1"/>
    <xf numFmtId="164" fontId="4119" fillId="0" borderId="4455" xfId="0" applyNumberFormat="1" applyFont="1" applyBorder="1"/>
    <xf numFmtId="164" fontId="4154" fillId="0" borderId="4490" xfId="0" applyNumberFormat="1" applyFont="1" applyBorder="1"/>
    <xf numFmtId="164" fontId="4155" fillId="0" borderId="4491" xfId="0" applyNumberFormat="1" applyFont="1" applyBorder="1"/>
    <xf numFmtId="164" fontId="4156" fillId="0" borderId="4492" xfId="0" applyNumberFormat="1" applyFont="1" applyBorder="1"/>
    <xf numFmtId="164" fontId="4157" fillId="0" borderId="4493" xfId="0" applyNumberFormat="1" applyFont="1" applyBorder="1"/>
    <xf numFmtId="164" fontId="4158" fillId="0" borderId="4494" xfId="0" applyNumberFormat="1" applyFont="1" applyBorder="1"/>
    <xf numFmtId="164" fontId="4193" fillId="0" borderId="4529" xfId="0" applyNumberFormat="1" applyFont="1" applyBorder="1"/>
    <xf numFmtId="164" fontId="4194" fillId="0" borderId="4530" xfId="0" applyNumberFormat="1" applyFont="1" applyBorder="1"/>
    <xf numFmtId="164" fontId="4195" fillId="0" borderId="4531" xfId="0" applyNumberFormat="1" applyFont="1" applyBorder="1"/>
    <xf numFmtId="164" fontId="4228" fillId="0" borderId="4564" xfId="0" applyNumberFormat="1" applyFont="1" applyBorder="1"/>
    <xf numFmtId="164" fontId="4229" fillId="0" borderId="4565" xfId="0" applyNumberFormat="1" applyFont="1" applyBorder="1"/>
    <xf numFmtId="164" fontId="4230" fillId="0" borderId="4566" xfId="0" applyNumberFormat="1" applyFont="1" applyBorder="1"/>
    <xf numFmtId="164" fontId="4231" fillId="0" borderId="4567" xfId="0" applyNumberFormat="1" applyFont="1" applyBorder="1"/>
    <xf numFmtId="164" fontId="4232" fillId="0" borderId="4568" xfId="0" applyNumberFormat="1" applyFont="1" applyBorder="1"/>
    <xf numFmtId="164" fontId="4133" fillId="0" borderId="4469" xfId="0" applyNumberFormat="1" applyFont="1" applyBorder="1"/>
    <xf numFmtId="164" fontId="4134" fillId="0" borderId="4470" xfId="0" applyNumberFormat="1" applyFont="1" applyBorder="1"/>
    <xf numFmtId="164" fontId="4135" fillId="0" borderId="4471" xfId="0" applyNumberFormat="1" applyFont="1" applyBorder="1"/>
    <xf numFmtId="164" fontId="4136" fillId="0" borderId="4472" xfId="0" applyNumberFormat="1" applyFont="1" applyBorder="1"/>
    <xf numFmtId="164" fontId="4137" fillId="0" borderId="4473" xfId="0" applyNumberFormat="1" applyFont="1" applyBorder="1"/>
    <xf numFmtId="164" fontId="4172" fillId="0" borderId="4508" xfId="0" applyNumberFormat="1" applyFont="1" applyBorder="1"/>
    <xf numFmtId="164" fontId="4173" fillId="0" borderId="4509" xfId="0" applyNumberFormat="1" applyFont="1" applyBorder="1"/>
    <xf numFmtId="164" fontId="4174" fillId="0" borderId="4510" xfId="0" applyNumberFormat="1" applyFont="1" applyBorder="1"/>
    <xf numFmtId="164" fontId="4175" fillId="0" borderId="4511" xfId="0" applyNumberFormat="1" applyFont="1" applyBorder="1"/>
    <xf numFmtId="164" fontId="4176" fillId="0" borderId="4512" xfId="0" applyNumberFormat="1" applyFont="1" applyBorder="1"/>
    <xf numFmtId="164" fontId="4209" fillId="0" borderId="4545" xfId="0" applyNumberFormat="1" applyFont="1" applyBorder="1"/>
    <xf numFmtId="164" fontId="4210" fillId="0" borderId="4546" xfId="0" applyNumberFormat="1" applyFont="1" applyBorder="1"/>
    <xf numFmtId="164" fontId="4211" fillId="0" borderId="4547" xfId="0" applyNumberFormat="1" applyFont="1" applyBorder="1"/>
    <xf numFmtId="164" fontId="4246" fillId="0" borderId="4582" xfId="0" applyNumberFormat="1" applyFont="1" applyBorder="1"/>
    <xf numFmtId="164" fontId="4247" fillId="0" borderId="4583" xfId="0" applyNumberFormat="1" applyFont="1" applyBorder="1"/>
    <xf numFmtId="164" fontId="4248" fillId="0" borderId="4584" xfId="0" applyNumberFormat="1" applyFont="1" applyBorder="1"/>
    <xf numFmtId="164" fontId="4249" fillId="0" borderId="4585" xfId="0" applyNumberFormat="1" applyFont="1" applyBorder="1"/>
    <xf numFmtId="164" fontId="4250" fillId="0" borderId="4586" xfId="0" applyNumberFormat="1" applyFont="1" applyBorder="1"/>
    <xf numFmtId="0" fontId="0" fillId="0" borderId="6623" xfId="0" applyBorder="1" applyAlignment="1">
      <alignment horizontal="left" wrapText="1"/>
    </xf>
    <xf numFmtId="0" fontId="0" fillId="0" borderId="6621" xfId="0" applyBorder="1" applyAlignment="1">
      <alignment vertical="center" wrapText="1"/>
    </xf>
    <xf numFmtId="0" fontId="6237" fillId="0" borderId="6621" xfId="0" applyFont="1" applyBorder="1" applyAlignment="1">
      <alignment horizontal="right" wrapText="1"/>
    </xf>
    <xf numFmtId="0" fontId="6238" fillId="0" borderId="6621" xfId="0" applyFont="1" applyBorder="1" applyAlignment="1">
      <alignment horizontal="right" wrapText="1"/>
    </xf>
    <xf numFmtId="0" fontId="6237" fillId="2" borderId="6621" xfId="0" applyFont="1" applyFill="1" applyBorder="1" applyAlignment="1">
      <alignment horizontal="right" wrapText="1"/>
    </xf>
    <xf numFmtId="0" fontId="6237" fillId="0" borderId="6621" xfId="0" applyFont="1" applyBorder="1" applyAlignment="1">
      <alignment vertical="center" wrapText="1"/>
    </xf>
    <xf numFmtId="0" fontId="0" fillId="0" borderId="6621" xfId="0" applyBorder="1" applyAlignment="1">
      <alignment horizontal="right" wrapText="1"/>
    </xf>
    <xf numFmtId="0" fontId="0" fillId="0" borderId="6622" xfId="0" applyBorder="1" applyAlignment="1">
      <alignment vertical="center" wrapText="1"/>
    </xf>
    <xf numFmtId="0" fontId="6237" fillId="0" borderId="6622" xfId="0" applyFont="1" applyBorder="1" applyAlignment="1">
      <alignment horizontal="right" wrapText="1"/>
    </xf>
    <xf numFmtId="0" fontId="6242" fillId="0" borderId="6623" xfId="0" applyFont="1" applyBorder="1" applyAlignment="1">
      <alignment horizontal="left" vertical="center" wrapText="1"/>
    </xf>
    <xf numFmtId="0" fontId="6243" fillId="0" borderId="6624" xfId="0" applyFont="1" applyBorder="1" applyAlignment="1">
      <alignment horizontal="right" wrapText="1"/>
    </xf>
    <xf numFmtId="0" fontId="6236" fillId="0" borderId="6620" xfId="0" applyFont="1" applyBorder="1"/>
    <xf numFmtId="0" fontId="0" fillId="0" borderId="6620" xfId="0" applyBorder="1"/>
    <xf numFmtId="0" fontId="6237" fillId="0" borderId="6620" xfId="0" applyFont="1" applyBorder="1" applyAlignment="1">
      <alignment horizontal="right" wrapText="1"/>
    </xf>
    <xf numFmtId="0" fontId="6238" fillId="0" borderId="6620" xfId="0" applyFont="1" applyBorder="1" applyAlignment="1">
      <alignment horizontal="right" wrapText="1"/>
    </xf>
    <xf numFmtId="0" fontId="6239" fillId="0" borderId="6620" xfId="0" applyFont="1" applyBorder="1" applyAlignment="1">
      <alignment vertical="center" wrapText="1"/>
    </xf>
    <xf numFmtId="0" fontId="6238" fillId="0" borderId="6620" xfId="0" applyFont="1" applyBorder="1" applyAlignment="1">
      <alignment wrapText="1"/>
    </xf>
    <xf numFmtId="0" fontId="0" fillId="0" borderId="6620" xfId="0" applyBorder="1" applyAlignment="1">
      <alignment vertical="center" wrapText="1"/>
    </xf>
    <xf numFmtId="0" fontId="0" fillId="0" borderId="6620" xfId="0" applyBorder="1" applyAlignment="1">
      <alignment horizontal="right" wrapText="1"/>
    </xf>
    <xf numFmtId="0" fontId="6240" fillId="2" borderId="6620" xfId="0" applyFont="1" applyFill="1" applyBorder="1" applyAlignment="1">
      <alignment vertical="center" wrapText="1"/>
    </xf>
    <xf numFmtId="0" fontId="6237" fillId="2" borderId="6620" xfId="0" applyFont="1" applyFill="1" applyBorder="1" applyAlignment="1">
      <alignment horizontal="right" wrapText="1"/>
    </xf>
    <xf numFmtId="0" fontId="6240" fillId="2" borderId="6620" xfId="0" applyFont="1" applyFill="1" applyBorder="1" applyAlignment="1">
      <alignment horizontal="right" wrapText="1"/>
    </xf>
    <xf numFmtId="0" fontId="6239" fillId="0" borderId="6620" xfId="0" applyFont="1" applyBorder="1" applyAlignment="1">
      <alignment wrapText="1"/>
    </xf>
    <xf numFmtId="0" fontId="0" fillId="0" borderId="6620" xfId="0" applyBorder="1" applyAlignment="1">
      <alignment wrapText="1"/>
    </xf>
    <xf numFmtId="0" fontId="6241" fillId="0" borderId="6620" xfId="0" applyFont="1" applyBorder="1" applyAlignment="1">
      <alignment horizontal="right" wrapText="1"/>
    </xf>
  </cellXfs>
  <cellStyles count="1">
    <cellStyle name="Normal" xfId="0" builtinId="0"/>
  </cellStyles>
  <dxfs count="2231">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font>
        <b/>
        <i val="0"/>
        <strike val="0"/>
        <condense val="0"/>
        <extend val="0"/>
        <outline val="0"/>
        <shadow val="0"/>
        <u val="none"/>
        <vertAlign val="baseline"/>
        <sz val="11"/>
        <color auto="1"/>
        <name val="Calibri"/>
        <family val="2"/>
        <scheme val="none"/>
      </font>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font>
        <b/>
        <i val="0"/>
        <strike val="0"/>
        <condense val="0"/>
        <extend val="0"/>
        <outline val="0"/>
        <shadow val="0"/>
        <u val="none"/>
        <vertAlign val="baseline"/>
        <sz val="11"/>
        <color auto="1"/>
        <name val="Calibri"/>
        <family val="2"/>
        <scheme val="none"/>
      </font>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font>
        <b/>
        <i val="0"/>
        <strike val="0"/>
        <condense val="0"/>
        <extend val="0"/>
        <outline val="0"/>
        <shadow val="0"/>
        <u val="none"/>
        <vertAlign val="baseline"/>
        <sz val="11"/>
        <color auto="1"/>
        <name val="Calibri"/>
        <family val="2"/>
        <scheme val="none"/>
      </font>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font>
        <b/>
        <i val="0"/>
        <strike val="0"/>
        <condense val="0"/>
        <extend val="0"/>
        <outline val="0"/>
        <shadow val="0"/>
        <u val="none"/>
        <vertAlign val="baseline"/>
        <sz val="11"/>
        <color auto="1"/>
        <name val="Calibri"/>
        <family val="2"/>
        <scheme val="none"/>
      </font>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font>
        <b/>
        <i val="0"/>
        <strike val="0"/>
        <condense val="0"/>
        <extend val="0"/>
        <outline val="0"/>
        <shadow val="0"/>
        <u val="none"/>
        <vertAlign val="baseline"/>
        <sz val="11"/>
        <color auto="1"/>
        <name val="Calibri"/>
        <family val="2"/>
        <scheme val="none"/>
      </font>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font>
        <b/>
        <i val="0"/>
        <strike val="0"/>
        <condense val="0"/>
        <extend val="0"/>
        <outline val="0"/>
        <shadow val="0"/>
        <u val="none"/>
        <vertAlign val="baseline"/>
        <sz val="11"/>
        <color auto="1"/>
        <name val="Calibri"/>
        <family val="2"/>
        <scheme val="none"/>
      </font>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font>
        <b/>
        <i val="0"/>
        <strike val="0"/>
        <condense val="0"/>
        <extend val="0"/>
        <outline val="0"/>
        <shadow val="0"/>
        <u val="none"/>
        <vertAlign val="baseline"/>
        <sz val="11"/>
        <color auto="1"/>
        <name val="Calibri"/>
        <family val="2"/>
        <scheme val="none"/>
      </font>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font>
        <b/>
        <i val="0"/>
        <strike val="0"/>
        <condense val="0"/>
        <extend val="0"/>
        <outline val="0"/>
        <shadow val="0"/>
        <u val="none"/>
        <vertAlign val="baseline"/>
        <sz val="11"/>
        <color auto="1"/>
        <name val="Calibri"/>
        <family val="2"/>
        <scheme val="none"/>
      </font>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font>
        <b/>
        <i val="0"/>
        <strike val="0"/>
        <condense val="0"/>
        <extend val="0"/>
        <outline val="0"/>
        <shadow val="0"/>
        <u val="none"/>
        <vertAlign val="baseline"/>
        <sz val="11"/>
        <color auto="1"/>
        <name val="Calibri"/>
        <family val="2"/>
        <scheme val="none"/>
      </font>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font>
        <b/>
        <i val="0"/>
        <strike val="0"/>
        <condense val="0"/>
        <extend val="0"/>
        <outline val="0"/>
        <shadow val="0"/>
        <u val="none"/>
        <vertAlign val="baseline"/>
        <sz val="11"/>
        <color auto="1"/>
        <name val="Calibri"/>
        <family val="2"/>
        <scheme val="none"/>
      </font>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font>
        <b/>
        <i val="0"/>
        <strike val="0"/>
        <condense val="0"/>
        <extend val="0"/>
        <outline val="0"/>
        <shadow val="0"/>
        <u val="none"/>
        <vertAlign val="baseline"/>
        <sz val="11"/>
        <color auto="1"/>
        <name val="Calibri"/>
        <family val="2"/>
        <scheme val="none"/>
      </font>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font>
        <b/>
        <i val="0"/>
        <strike val="0"/>
        <condense val="0"/>
        <extend val="0"/>
        <outline val="0"/>
        <shadow val="0"/>
        <u val="none"/>
        <vertAlign val="baseline"/>
        <sz val="11"/>
        <color auto="1"/>
        <name val="Calibri"/>
        <family val="2"/>
        <scheme val="none"/>
      </font>
      <numFmt numFmtId="164" formatCode="0.0"/>
    </dxf>
    <dxf>
      <font>
        <b val="0"/>
        <i val="0"/>
        <strike val="0"/>
        <condense val="0"/>
        <extend val="0"/>
        <outline val="0"/>
        <shadow val="0"/>
        <u val="none"/>
        <vertAlign val="baseline"/>
        <sz val="11"/>
        <color auto="1"/>
        <name val="Calibri"/>
        <family val="2"/>
        <scheme val="none"/>
      </font>
      <numFmt numFmtId="164" formatCode="0.0"/>
    </dxf>
    <dxf>
      <font>
        <b val="0"/>
        <i val="0"/>
        <strike val="0"/>
        <condense val="0"/>
        <extend val="0"/>
        <outline val="0"/>
        <shadow val="0"/>
        <u val="none"/>
        <vertAlign val="baseline"/>
        <sz val="11"/>
        <color auto="1"/>
        <name val="Calibri"/>
        <family val="2"/>
        <scheme val="none"/>
      </font>
      <numFmt numFmtId="164" formatCode="0.0"/>
    </dxf>
    <dxf>
      <font>
        <b val="0"/>
        <i val="0"/>
        <strike val="0"/>
        <condense val="0"/>
        <extend val="0"/>
        <outline val="0"/>
        <shadow val="0"/>
        <u val="none"/>
        <vertAlign val="baseline"/>
        <sz val="11"/>
        <color auto="1"/>
        <name val="Calibri"/>
        <family val="2"/>
        <scheme val="none"/>
      </font>
      <numFmt numFmtId="164" formatCode="0.0"/>
    </dxf>
    <dxf>
      <numFmt numFmtId="164" formatCode="0.0"/>
    </dxf>
    <dxf>
      <font>
        <b val="0"/>
        <i val="0"/>
        <strike val="0"/>
        <condense val="0"/>
        <extend val="0"/>
        <outline val="0"/>
        <shadow val="0"/>
        <u val="none"/>
        <vertAlign val="baseline"/>
        <sz val="11"/>
        <color auto="1"/>
        <name val="Calibri"/>
        <family val="2"/>
        <scheme val="none"/>
      </font>
      <numFmt numFmtId="164" formatCode="0.0"/>
    </dxf>
    <dxf>
      <font>
        <b/>
        <i val="0"/>
        <strike val="0"/>
        <condense val="0"/>
        <extend val="0"/>
        <outline val="0"/>
        <shadow val="0"/>
        <u val="none"/>
        <vertAlign val="baseline"/>
        <sz val="11"/>
        <color auto="1"/>
        <name val="Calibri"/>
        <family val="2"/>
        <scheme val="none"/>
      </font>
      <numFmt numFmtId="164" formatCode="0.0"/>
    </dxf>
    <dxf>
      <font>
        <b val="0"/>
        <i val="0"/>
        <strike val="0"/>
        <condense val="0"/>
        <extend val="0"/>
        <outline val="0"/>
        <shadow val="0"/>
        <u val="none"/>
        <vertAlign val="baseline"/>
        <sz val="11"/>
        <color auto="1"/>
        <name val="Calibri"/>
        <family val="2"/>
        <scheme val="none"/>
      </font>
      <numFmt numFmtId="164" formatCode="0.0"/>
    </dxf>
    <dxf>
      <font>
        <b val="0"/>
        <i val="0"/>
        <strike val="0"/>
        <condense val="0"/>
        <extend val="0"/>
        <outline val="0"/>
        <shadow val="0"/>
        <u val="none"/>
        <vertAlign val="baseline"/>
        <sz val="11"/>
        <color auto="1"/>
        <name val="Calibri"/>
        <family val="2"/>
        <scheme val="none"/>
      </font>
      <numFmt numFmtId="164" formatCode="0.0"/>
    </dxf>
    <dxf>
      <font>
        <b val="0"/>
        <i val="0"/>
        <strike val="0"/>
        <condense val="0"/>
        <extend val="0"/>
        <outline val="0"/>
        <shadow val="0"/>
        <u val="none"/>
        <vertAlign val="baseline"/>
        <sz val="11"/>
        <color auto="1"/>
        <name val="Calibri"/>
        <family val="2"/>
        <scheme val="none"/>
      </font>
      <numFmt numFmtId="164" formatCode="0.0"/>
    </dxf>
    <dxf>
      <numFmt numFmtId="164" formatCode="0.0"/>
    </dxf>
    <dxf>
      <font>
        <b val="0"/>
        <i val="0"/>
        <strike val="0"/>
        <condense val="0"/>
        <extend val="0"/>
        <outline val="0"/>
        <shadow val="0"/>
        <u val="none"/>
        <vertAlign val="baseline"/>
        <sz val="11"/>
        <color auto="1"/>
        <name val="Calibri"/>
        <family val="2"/>
        <scheme val="none"/>
      </font>
      <numFmt numFmtId="164" formatCode="0.0"/>
    </dxf>
    <dxf>
      <font>
        <b/>
        <i val="0"/>
        <strike val="0"/>
        <condense val="0"/>
        <extend val="0"/>
        <outline val="0"/>
        <shadow val="0"/>
        <u val="none"/>
        <vertAlign val="baseline"/>
        <sz val="11"/>
        <color auto="1"/>
        <name val="Calibri"/>
        <family val="2"/>
        <scheme val="none"/>
      </font>
      <numFmt numFmtId="164" formatCode="0.0"/>
    </dxf>
    <dxf>
      <font>
        <b val="0"/>
        <i val="0"/>
        <strike val="0"/>
        <condense val="0"/>
        <extend val="0"/>
        <outline val="0"/>
        <shadow val="0"/>
        <u val="none"/>
        <vertAlign val="baseline"/>
        <sz val="11"/>
        <color auto="1"/>
        <name val="Calibri"/>
        <family val="2"/>
        <scheme val="none"/>
      </font>
      <numFmt numFmtId="164" formatCode="0.0"/>
    </dxf>
    <dxf>
      <font>
        <b val="0"/>
        <i val="0"/>
        <strike val="0"/>
        <condense val="0"/>
        <extend val="0"/>
        <outline val="0"/>
        <shadow val="0"/>
        <u val="none"/>
        <vertAlign val="baseline"/>
        <sz val="11"/>
        <color auto="1"/>
        <name val="Calibri"/>
        <family val="2"/>
        <scheme val="none"/>
      </font>
      <numFmt numFmtId="164" formatCode="0.0"/>
    </dxf>
    <dxf>
      <font>
        <b val="0"/>
        <i val="0"/>
        <strike val="0"/>
        <condense val="0"/>
        <extend val="0"/>
        <outline val="0"/>
        <shadow val="0"/>
        <u val="none"/>
        <vertAlign val="baseline"/>
        <sz val="11"/>
        <color auto="1"/>
        <name val="Calibri"/>
        <family val="2"/>
        <scheme val="none"/>
      </font>
      <numFmt numFmtId="164" formatCode="0.0"/>
    </dxf>
    <dxf>
      <numFmt numFmtId="164" formatCode="0.0"/>
    </dxf>
    <dxf>
      <font>
        <b val="0"/>
        <i val="0"/>
        <strike val="0"/>
        <condense val="0"/>
        <extend val="0"/>
        <outline val="0"/>
        <shadow val="0"/>
        <u val="none"/>
        <vertAlign val="baseline"/>
        <sz val="11"/>
        <color auto="1"/>
        <name val="Calibri"/>
        <family val="2"/>
        <scheme val="none"/>
      </font>
      <numFmt numFmtId="164" formatCode="0.0"/>
    </dxf>
    <dxf>
      <font>
        <b/>
        <i val="0"/>
        <strike val="0"/>
        <condense val="0"/>
        <extend val="0"/>
        <outline val="0"/>
        <shadow val="0"/>
        <u val="none"/>
        <vertAlign val="baseline"/>
        <sz val="11"/>
        <color auto="1"/>
        <name val="Calibri"/>
        <family val="2"/>
        <scheme val="none"/>
      </font>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numFmt numFmtId="164" formatCode="0.0"/>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164" formatCode="0.0"/>
      <alignment horizontal="general" vertical="bottom" textRotation="0" wrapText="0" indent="0" justifyLastLine="0" shrinkToFit="0" readingOrder="0"/>
    </dxf>
    <dxf>
      <font>
        <strike val="0"/>
        <outline val="0"/>
        <shadow val="0"/>
        <u val="none"/>
        <vertAlign val="baseline"/>
        <sz val="12"/>
        <name val="Calibri"/>
        <family val="2"/>
        <scheme val="minor"/>
      </font>
      <alignment textRotation="0" wrapText="1" justifyLastLine="0" shrinkToFit="0" readingOrder="0"/>
    </dxf>
    <dxf>
      <font>
        <b val="0"/>
        <i val="0"/>
        <strike val="0"/>
        <condense val="0"/>
        <extend val="0"/>
        <outline val="0"/>
        <shadow val="0"/>
        <u val="none"/>
        <vertAlign val="baseline"/>
        <sz val="11"/>
        <color theme="1"/>
        <name val="Calibri"/>
        <family val="2"/>
        <scheme val="minor"/>
      </font>
      <alignment horizontal="right" vertical="bottom"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right" vertical="bottom" textRotation="0" wrapText="1" indent="0" justifyLastLine="0" shrinkToFit="0" readingOrder="0"/>
    </dxf>
    <dxf>
      <font>
        <strike val="0"/>
        <outline val="0"/>
        <shadow val="0"/>
        <u val="none"/>
        <vertAlign val="baseline"/>
        <sz val="12"/>
        <name val="Calibri"/>
        <family val="2"/>
        <scheme val="minor"/>
      </font>
      <alignment textRotation="0" wrapText="1" justifyLastLine="0" shrinkToFit="0" readingOrder="0"/>
    </dxf>
    <dxf>
      <border diagonalUp="0" diagonalDown="0">
        <left/>
        <right/>
        <top style="thin">
          <color rgb="FF000000"/>
        </top>
        <bottom style="thin">
          <color rgb="FF000000"/>
        </bottom>
      </border>
    </dxf>
    <dxf>
      <font>
        <strike val="0"/>
        <outline val="0"/>
        <shadow val="0"/>
        <u val="none"/>
        <vertAlign val="baseline"/>
        <sz val="12"/>
        <name val="Calibri"/>
        <family val="2"/>
        <scheme val="minor"/>
      </font>
      <alignment textRotation="0" wrapText="1" justifyLastLine="0" shrinkToFit="0" readingOrder="0"/>
    </dxf>
    <dxf>
      <border outline="0">
        <bottom style="thin">
          <color rgb="FF000000"/>
        </bottom>
      </border>
    </dxf>
    <dxf>
      <font>
        <strike val="0"/>
        <outline val="0"/>
        <shadow val="0"/>
        <u val="none"/>
        <vertAlign val="baseline"/>
        <sz val="12"/>
        <name val="Calibri"/>
        <family val="2"/>
        <scheme val="minor"/>
      </font>
      <alignment horizontal="left"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8" xr:uid="{74FB2704-8D15-8347-8194-3D0B8B44C9D8}" name="Table23" displayName="Table23" ref="A11:D43" totalsRowShown="0" headerRowDxfId="2230" dataDxfId="2228" headerRowBorderDxfId="2229" tableBorderDxfId="2227">
  <autoFilter ref="A11:D43" xr:uid="{74FB2704-8D15-8347-8194-3D0B8B44C9D8}"/>
  <tableColumns count="4">
    <tableColumn id="2" xr3:uid="{0141DC92-7BD2-804E-9CE7-9259CF920BC0}" name="Indicator " dataDxfId="2226"/>
    <tableColumn id="1" xr3:uid="{5E091CFF-D698-F747-A4A5-EDBE4FA9BF3A}" name="CRPD Article" dataDxfId="2225"/>
    <tableColumn id="4" xr3:uid="{B369E262-BC1B-7D43-8E0C-5D2F6E162436}" name="SDG indicator" dataDxfId="2224"/>
    <tableColumn id="3" xr3:uid="{66745A5F-0446-D14E-B62C-0A3226C83506}" name="Indicator reference in results tables" dataDxfId="2223"/>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934B1DB-92F8-6841-8926-24994C8D6F96}" name="Table_P2.2_Share_of_all_adults_with_some_functional_difficulty_by_type_of_functional_difficulty_Percentage" displayName="Table_P2.2_Share_of_all_adults_with_some_functional_difficulty_by_type_of_functional_difficulty_Percentage" ref="A21:G37" totalsRowShown="0" headerRowDxfId="2171" dataDxfId="2170">
  <autoFilter ref="A21:G37" xr:uid="{D934B1DB-92F8-6841-8926-24994C8D6F96}"/>
  <tableColumns count="7">
    <tableColumn id="1" xr3:uid="{191FBD8F-890F-D549-8E67-00379EBC4386}" name="Region" dataDxfId="2169"/>
    <tableColumn id="2" xr3:uid="{70FEA372-1921-0D44-ADB8-21BF417EE99C}" name="Seeing" dataDxfId="2168"/>
    <tableColumn id="3" xr3:uid="{13ED0DBC-4033-C243-8E90-27E151D94668}" name="Hearing" dataDxfId="2167"/>
    <tableColumn id="4" xr3:uid="{70B3EA88-5F5C-924E-B3BD-52BF5EC96B85}" name="Mobility" dataDxfId="2166"/>
    <tableColumn id="5" xr3:uid="{BCC066AE-C974-5C4C-AC91-BBFBCF328258}" name="Cognition" dataDxfId="2165"/>
    <tableColumn id="6" xr3:uid="{BCBA2814-0365-AF47-8265-278D98D1CD72}" name="Self-Care" dataDxfId="2164"/>
    <tableColumn id="7" xr3:uid="{4887D102-5374-F14B-8DC3-2F53360F348E}" name="Communication" dataDxfId="2163"/>
  </tableColumns>
  <tableStyleInfo name="TableStyleMedium2" showFirstColumn="1" showLastColumn="0" showRowStripes="1" showColumnStripes="0"/>
</table>
</file>

<file path=xl/tables/table10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64414904-B569-DB4A-A6A5-79F14CEED8C7}" name="Table_E4.4.b_Share_of_rural_residents_who_have_completed_secondary_school_or_higher_Percentage_disaggregation_b" displayName="Table_E4.4.b_Share_of_rural_residents_who_have_completed_secondary_school_or_higher_Percentage_disaggregation_b" ref="G59:N75" totalsRowShown="0" headerRowDxfId="1432" dataDxfId="1431">
  <autoFilter ref="G59:N75" xr:uid="{64414904-B569-DB4A-A6A5-79F14CEED8C7}"/>
  <tableColumns count="8">
    <tableColumn id="1" xr3:uid="{32C1E34C-2401-644D-B50A-F12B61DCD8B4}" name="Region" dataDxfId="1430"/>
    <tableColumn id="2" xr3:uid="{6425F000-76D2-8E41-89A8-138019FE809E}" name="No difficulty" dataDxfId="1429"/>
    <tableColumn id="3" xr3:uid="{F033EC9C-85ED-8C4D-9BE2-9F944B256753}" name="Some difficulty" dataDxfId="1428"/>
    <tableColumn id="4" xr3:uid="{58099F3D-4492-BD4E-B407-CA6AE61FAC60}" name="Difference" dataDxfId="1427"/>
    <tableColumn id="5" xr3:uid="{BCEBA6DC-A1D1-D948-8E10-10DFFC5F4AA3}" name="Statistical Significance of the Difference" dataDxfId="1426"/>
    <tableColumn id="6" xr3:uid="{06DF8836-7D8F-894A-AC8C-BCE86C2D1D18}" name="At least a lot of difficulty" dataDxfId="1425"/>
    <tableColumn id="7" xr3:uid="{5378BA0E-8929-C049-9B2B-4000C6D0441E}" name="Difference No difficulty &amp; At least a lot of difficulty" dataDxfId="1424"/>
    <tableColumn id="8" xr3:uid="{C5B6E10C-C8F8-7249-8D30-F11C3C434DA0}" name="Statistical Significance of the Difference (No difficulty vs At least a lot)" dataDxfId="1423"/>
  </tableColumns>
  <tableStyleInfo name="TableStyleMedium2" showFirstColumn="1" showLastColumn="0" showRowStripes="1" showColumnStripes="0"/>
</table>
</file>

<file path=xl/tables/table10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0" xr:uid="{8860576C-DD34-8D44-8E8F-DFF7CABC7A48}" name="Table_E4.4.c_Share_of_rural_residents_who_have_completed_secondary_school_or_higher_Percentage_disaggregation_c" displayName="Table_E4.4.c_Share_of_rural_residents_who_have_completed_secondary_school_or_higher_Percentage_disaggregation_c" ref="P59:T75" totalsRowShown="0" headerRowDxfId="1422" dataDxfId="1421">
  <autoFilter ref="P59:T75" xr:uid="{8860576C-DD34-8D44-8E8F-DFF7CABC7A48}"/>
  <tableColumns count="5">
    <tableColumn id="1" xr3:uid="{153EB657-5EA7-144C-A827-0CE3BE205995}" name="Region" dataDxfId="1420"/>
    <tableColumn id="2" xr3:uid="{9C5E7BAE-600A-BA45-BB93-57AEA89C5842}" name="No or some difficulty" dataDxfId="1419"/>
    <tableColumn id="3" xr3:uid="{4EDBEB30-4C98-B940-B707-15E9081DAA3B}" name="At least a lot of difficulty" dataDxfId="1418"/>
    <tableColumn id="4" xr3:uid="{C6929F63-1806-D14A-8B9B-2DDD9E8A1AE7}" name="Difference" dataDxfId="1417"/>
    <tableColumn id="5" xr3:uid="{3F3A3198-BB7D-BC43-9FEC-2D7CA0DBB8BE}" name="Statistical Significance of the Difference" dataDxfId="1416"/>
  </tableColumns>
  <tableStyleInfo name="TableStyleMedium2" showFirstColumn="1" showLastColumn="0" showRowStripes="1" showColumnStripes="0"/>
</table>
</file>

<file path=xl/tables/table10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1" xr:uid="{C6CDFEFE-DFC6-1046-B8BE-8725AA3AAE54}" name="Table_E4.5.a_Share_of_urban_residents_who_have_completed_secondary_school_or_higher_Percentage_disaggregation_a" displayName="Table_E4.5.a_Share_of_urban_residents_who_have_completed_secondary_school_or_higher_Percentage_disaggregation_a" ref="A78:E94" totalsRowShown="0" headerRowDxfId="1415" dataDxfId="1414">
  <autoFilter ref="A78:E94" xr:uid="{C6CDFEFE-DFC6-1046-B8BE-8725AA3AAE54}"/>
  <tableColumns count="5">
    <tableColumn id="1" xr3:uid="{E18151DF-70B1-5940-B181-D7E7EB06A009}" name="Region" dataDxfId="1413"/>
    <tableColumn id="2" xr3:uid="{62CCB881-C0F6-614D-9ECD-E0EB16276F0F}" name="No difficulty" dataDxfId="1412"/>
    <tableColumn id="3" xr3:uid="{8EC584B5-B61A-A54F-8AEF-9107C6EFC435}" name="Any difficulty" dataDxfId="1411"/>
    <tableColumn id="4" xr3:uid="{CF3C7DA8-D7A3-A141-8F0C-4FF471F751FD}" name="Difference" dataDxfId="1410"/>
    <tableColumn id="5" xr3:uid="{5D5B41D4-3FDB-6148-82F8-F41DFED977BC}" name="Statistical Significance of the Difference" dataDxfId="1409"/>
  </tableColumns>
  <tableStyleInfo name="TableStyleMedium2" showFirstColumn="1" showLastColumn="0" showRowStripes="1" showColumnStripes="0"/>
</table>
</file>

<file path=xl/tables/table10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2" xr:uid="{D148AC1D-8FB3-AD4C-8B19-8F929020207E}" name="Table_E4.5.b_Share_of_urban_residents_who_have_completed_secondary_school_or_higher_Percentage_disaggregation_b" displayName="Table_E4.5.b_Share_of_urban_residents_who_have_completed_secondary_school_or_higher_Percentage_disaggregation_b" ref="G78:N94" totalsRowShown="0" headerRowDxfId="1408" dataDxfId="1407">
  <autoFilter ref="G78:N94" xr:uid="{D148AC1D-8FB3-AD4C-8B19-8F929020207E}"/>
  <tableColumns count="8">
    <tableColumn id="1" xr3:uid="{ED2A7D64-E42D-4B45-9FF2-9974F4CB1645}" name="Region" dataDxfId="1406"/>
    <tableColumn id="2" xr3:uid="{8642DF7F-71D1-CA4F-BCA5-223F3DEBB663}" name="No difficulty" dataDxfId="1405"/>
    <tableColumn id="3" xr3:uid="{B2E84AD8-A621-4943-9E5A-749F73AFD11A}" name="Some difficulty" dataDxfId="1404"/>
    <tableColumn id="4" xr3:uid="{BE06FBA0-2B91-0F43-80A6-14DCD19569C8}" name="Difference" dataDxfId="1403"/>
    <tableColumn id="5" xr3:uid="{0FC402AA-003F-8843-96FA-4AF60639BBC0}" name="Statistical Significance of the Difference" dataDxfId="1402"/>
    <tableColumn id="6" xr3:uid="{784053F2-569A-EF49-B6E0-51F322B0DEC2}" name="At least a lot of difficulty" dataDxfId="1401"/>
    <tableColumn id="7" xr3:uid="{181B8487-E549-954E-89A2-8051C2F6AC3B}" name="Difference No difficulty &amp; At least a lot of difficulty" dataDxfId="1400"/>
    <tableColumn id="8" xr3:uid="{87395EF2-7B4D-8546-BAB8-8DCA16B54A9F}" name="Statistical Significance of the Difference (No difficulty vs At least a lot)" dataDxfId="1399"/>
  </tableColumns>
  <tableStyleInfo name="TableStyleMedium2" showFirstColumn="1" showLastColumn="0" showRowStripes="1" showColumnStripes="0"/>
</table>
</file>

<file path=xl/tables/table10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3" xr:uid="{B6644017-ECF7-CB4B-9174-2606BC12F80C}" name="Table_E4.5.c_Share_of_urban_residents_who_have_completed_secondary_school_or_higher_Percentage_disaggregation_c" displayName="Table_E4.5.c_Share_of_urban_residents_who_have_completed_secondary_school_or_higher_Percentage_disaggregation_c" ref="P78:T94" totalsRowShown="0" headerRowDxfId="1398" dataDxfId="1397">
  <autoFilter ref="P78:T94" xr:uid="{B6644017-ECF7-CB4B-9174-2606BC12F80C}"/>
  <tableColumns count="5">
    <tableColumn id="1" xr3:uid="{5FA6D360-DEF6-1C45-95AE-02EE4F425075}" name="Region" dataDxfId="1396"/>
    <tableColumn id="2" xr3:uid="{FD8AE5A9-2699-9D48-98BA-2B4F587EB302}" name="No or some difficulty" dataDxfId="1395"/>
    <tableColumn id="3" xr3:uid="{BC327363-2D22-0B4B-A2FC-6E89F6F434E1}" name="At least a lot of difficulty" dataDxfId="1394"/>
    <tableColumn id="4" xr3:uid="{1BAA9D48-B8BE-C142-AAA0-C7FBD6E3FE0F}" name="Difference" dataDxfId="1393"/>
    <tableColumn id="5" xr3:uid="{703E94E4-270D-2146-8DBC-9C9651B9021D}" name="Statistical Significance of the Difference" dataDxfId="1392"/>
  </tableColumns>
  <tableStyleInfo name="TableStyleMedium2" showFirstColumn="1" showLastColumn="0" showRowStripes="1" showColumnStripes="0"/>
</table>
</file>

<file path=xl/tables/table10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4" xr:uid="{C3D85E1A-27E8-7B42-B0AE-53E53F702DD7}" name="Table_E4.6.a_Share_of_adults_age_15_to_44_who_have_completed_secondary_school_or_higher_Percentage_disaggregation_a" displayName="Table_E4.6.a_Share_of_adults_age_15_to_44_who_have_completed_secondary_school_or_higher_Percentage_disaggregation_a" ref="A97:E113" totalsRowShown="0" headerRowDxfId="1391" dataDxfId="1390">
  <autoFilter ref="A97:E113" xr:uid="{C3D85E1A-27E8-7B42-B0AE-53E53F702DD7}"/>
  <tableColumns count="5">
    <tableColumn id="1" xr3:uid="{E9860E1A-31F8-8648-8524-6D667ECF23F7}" name="Region" dataDxfId="1389"/>
    <tableColumn id="2" xr3:uid="{5B4AF934-3FF4-F64F-A017-A003489DD4FD}" name="No difficulty" dataDxfId="1388"/>
    <tableColumn id="3" xr3:uid="{88B0B8D7-7A18-5848-9E5B-3021F3109A59}" name="Any difficulty" dataDxfId="1387"/>
    <tableColumn id="4" xr3:uid="{2F9597CE-0838-964D-9053-AC541EA368CB}" name="Difference" dataDxfId="1386"/>
    <tableColumn id="5" xr3:uid="{139ADF53-6CC6-AA49-A04D-DCB9964044F0}" name="Statistical Significance of the Difference" dataDxfId="1385"/>
  </tableColumns>
  <tableStyleInfo name="TableStyleMedium2" showFirstColumn="1" showLastColumn="0" showRowStripes="1" showColumnStripes="0"/>
</table>
</file>

<file path=xl/tables/table10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5" xr:uid="{F6B64F48-FDCC-B841-BBAF-474CCC1FA127}" name="Table_E4.6.b_Share_of_adults_age_15_to_44_who_have_completed_secondary_school_or_higher_Percentage_disaggregation_b" displayName="Table_E4.6.b_Share_of_adults_age_15_to_44_who_have_completed_secondary_school_or_higher_Percentage_disaggregation_b" ref="G97:N113" totalsRowShown="0" headerRowDxfId="1384" dataDxfId="1383">
  <autoFilter ref="G97:N113" xr:uid="{F6B64F48-FDCC-B841-BBAF-474CCC1FA127}"/>
  <tableColumns count="8">
    <tableColumn id="1" xr3:uid="{94D43975-208D-9D45-BF19-F44366A4220D}" name="Region" dataDxfId="1382"/>
    <tableColumn id="2" xr3:uid="{EE9B1525-6131-8E49-9BC0-560F89A1272F}" name="No difficulty" dataDxfId="1381"/>
    <tableColumn id="3" xr3:uid="{C7735CB0-0AEA-E04A-8ACF-985DEDB0EECC}" name="Some difficulty" dataDxfId="1380"/>
    <tableColumn id="4" xr3:uid="{437A99D8-F45B-D049-8A05-C76A15AB41A6}" name="Difference" dataDxfId="1379"/>
    <tableColumn id="5" xr3:uid="{91AD1AF8-4FF8-C245-B52A-FFB0492FD9CE}" name="Statistical Significance of the Difference" dataDxfId="1378"/>
    <tableColumn id="6" xr3:uid="{A2F29F87-48AC-DF4F-AC2F-C42774B415E2}" name="At least a lot of difficulty" dataDxfId="1377"/>
    <tableColumn id="7" xr3:uid="{CEEB161E-3DDC-0448-90AC-63E300D453E0}" name="Difference No difficulty &amp; At least a lot of difficulty" dataDxfId="1376"/>
    <tableColumn id="8" xr3:uid="{12E9DF29-18EC-4D44-883C-39A9BC692D79}" name="Statistical Significance of the Difference (No difficulty vs At least a lot)" dataDxfId="1375"/>
  </tableColumns>
  <tableStyleInfo name="TableStyleMedium2" showFirstColumn="1" showLastColumn="0" showRowStripes="1" showColumnStripes="0"/>
</table>
</file>

<file path=xl/tables/table10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6" xr:uid="{07D05E0E-0C44-4840-B859-24EB362FF32A}" name="Table_E4.6.c_Share_of_adults_age_15_to_44_who_have_completed_secondary_school_or_higher_Percentage_disaggregation_c" displayName="Table_E4.6.c_Share_of_adults_age_15_to_44_who_have_completed_secondary_school_or_higher_Percentage_disaggregation_c" ref="P97:T113" totalsRowShown="0" headerRowDxfId="1374" dataDxfId="1373">
  <autoFilter ref="P97:T113" xr:uid="{07D05E0E-0C44-4840-B859-24EB362FF32A}"/>
  <tableColumns count="5">
    <tableColumn id="1" xr3:uid="{6550F5FB-3E97-AC4E-BB26-4015965AB0C1}" name="Region" dataDxfId="1372"/>
    <tableColumn id="2" xr3:uid="{385F61E4-70F0-6243-9F07-37C2B4FE79F7}" name="No or some difficulty" dataDxfId="1371"/>
    <tableColumn id="3" xr3:uid="{FA853E76-32DD-9F44-B593-0B4CF4EC237D}" name="At least a lot of difficulty" dataDxfId="1370"/>
    <tableColumn id="4" xr3:uid="{B3F1930A-27F2-454D-ADCB-ED4705459D92}" name="Difference" dataDxfId="1369"/>
    <tableColumn id="5" xr3:uid="{C14864BC-16A5-0B45-971C-F21BC2EBF63C}" name="Statistical Significance of the Difference" dataDxfId="1368"/>
  </tableColumns>
  <tableStyleInfo name="TableStyleMedium2" showFirstColumn="1" showLastColumn="0" showRowStripes="1" showColumnStripes="0"/>
</table>
</file>

<file path=xl/tables/table10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7" xr:uid="{D83EDA9C-CB95-E74D-8570-778965C0253E}" name="Table_E4.7.a_Share_of_adults_age_45_and_older_who_have_completed_secondary_school_or_higher_Percentage_disaggregation_a" displayName="Table_E4.7.a_Share_of_adults_age_45_and_older_who_have_completed_secondary_school_or_higher_Percentage_disaggregation_a" ref="A116:E132" totalsRowShown="0" headerRowDxfId="1367" dataDxfId="1366">
  <autoFilter ref="A116:E132" xr:uid="{D83EDA9C-CB95-E74D-8570-778965C0253E}"/>
  <tableColumns count="5">
    <tableColumn id="1" xr3:uid="{1A5A1A1E-4D16-9642-8972-AFFFFD74143B}" name="Region" dataDxfId="1365"/>
    <tableColumn id="2" xr3:uid="{97F96176-1F06-1046-8140-47F20B2FC14A}" name="No difficulty" dataDxfId="1364"/>
    <tableColumn id="3" xr3:uid="{375257B3-D2C5-2E4A-AEF0-02FAD53FC7BC}" name="Any difficulty" dataDxfId="1363"/>
    <tableColumn id="4" xr3:uid="{A750D016-3841-6D49-AB1A-0E659EFF36D8}" name="Difference" dataDxfId="1362"/>
    <tableColumn id="5" xr3:uid="{A22092E3-9914-0A47-A2A2-F00B5C9D3C3E}" name="Statistical Significance of the Difference" dataDxfId="1361"/>
  </tableColumns>
  <tableStyleInfo name="TableStyleMedium2" showFirstColumn="1" showLastColumn="0" showRowStripes="1" showColumnStripes="0"/>
</table>
</file>

<file path=xl/tables/table10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8" xr:uid="{1982672F-80E8-144F-9CEA-1D8CD152ABB9}" name="Table_E4.7.b_Share_of_adults_age_45_and_older_who_have_completed_secondary_school_or_higher_Percentage_disaggregation_b" displayName="Table_E4.7.b_Share_of_adults_age_45_and_older_who_have_completed_secondary_school_or_higher_Percentage_disaggregation_b" ref="G116:N132" totalsRowShown="0" headerRowDxfId="1360" dataDxfId="1359">
  <autoFilter ref="G116:N132" xr:uid="{1982672F-80E8-144F-9CEA-1D8CD152ABB9}"/>
  <tableColumns count="8">
    <tableColumn id="1" xr3:uid="{35901415-2F0E-514F-AB1C-B8BF106E90D3}" name="Region" dataDxfId="1358"/>
    <tableColumn id="2" xr3:uid="{FA3AB3A5-4D37-2447-BF0E-DE94C4410F15}" name="No difficulty" dataDxfId="1357"/>
    <tableColumn id="3" xr3:uid="{48C10DFE-BBC6-5942-82AA-0AD31BF2EB54}" name="Some difficulty" dataDxfId="1356"/>
    <tableColumn id="4" xr3:uid="{D5CFB050-C523-EB4B-A4D7-9C116CF1AD5E}" name="Difference" dataDxfId="1355"/>
    <tableColumn id="5" xr3:uid="{969180C3-BCC1-F54B-A436-2310A775C271}" name="Statistical Significance of the Difference" dataDxfId="1354"/>
    <tableColumn id="6" xr3:uid="{52DE29CA-D85D-544E-828D-C9C1A772F701}" name="At least a lot of difficulty" dataDxfId="1353"/>
    <tableColumn id="7" xr3:uid="{6CE73AF3-6DDD-CD44-BC40-B86C174D50FB}" name="Difference No difficulty &amp; At least a lot of difficulty" dataDxfId="1352"/>
    <tableColumn id="8" xr3:uid="{DCE829A6-5A4D-7C4F-BDED-397D3C01F4BC}" name="Statistical Significance of the Difference (No difficulty vs At least a lot)" dataDxfId="1351"/>
  </tableColumns>
  <tableStyleInfo name="TableStyleMedium2" showFirstColumn="1"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864202F-7F67-7041-B3BC-E8680A595D9F}" name="Table_P2.3_Share_of_all_adults_with_at_least_a_lot_of_functional_difficulty_by_type_of_functional_difficulty_Percentage" displayName="Table_P2.3_Share_of_all_adults_with_at_least_a_lot_of_functional_difficulty_by_type_of_functional_difficulty_Percentage" ref="A40:G55" totalsRowShown="0" headerRowDxfId="2162" dataDxfId="2161">
  <autoFilter ref="A40:G55" xr:uid="{1864202F-7F67-7041-B3BC-E8680A595D9F}"/>
  <tableColumns count="7">
    <tableColumn id="1" xr3:uid="{3B5152DD-594A-2042-9A9F-3A0166E0DB3C}" name="Region" dataDxfId="2160"/>
    <tableColumn id="2" xr3:uid="{9F3FBF81-EC51-664E-8D3B-8033097E2219}" name="Seeing" dataDxfId="2159"/>
    <tableColumn id="3" xr3:uid="{5293B600-E79D-CB49-AAB1-757F7348D1AD}" name="Hearing" dataDxfId="2158"/>
    <tableColumn id="4" xr3:uid="{56BF51FF-D500-7843-93A5-CC6E6E14A096}" name="Mobility" dataDxfId="2157"/>
    <tableColumn id="5" xr3:uid="{22D57E0F-52EA-0A46-824B-BCA71EFC5709}" name="Cognition" dataDxfId="2156"/>
    <tableColumn id="6" xr3:uid="{0DB938AE-48AB-4E43-BF74-CF2CB2BA2DE7}" name="Self-Care" dataDxfId="2155"/>
    <tableColumn id="7" xr3:uid="{106AE8F2-48E0-AD42-A1F7-3D433F9581F5}" name="Communication" dataDxfId="2154"/>
  </tableColumns>
  <tableStyleInfo name="TableStyleMedium2" showFirstColumn="1" showLastColumn="0" showRowStripes="1" showColumnStripes="0"/>
</table>
</file>

<file path=xl/tables/table1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9" xr:uid="{CE8C3B7F-1A1C-DD46-ACA9-687095D73C4D}" name="Table_E4.7.c_Share_of_adults_age_45_and_older_who_have_completed_secondary_school_or_higher_Percentage_disaggregation_c" displayName="Table_E4.7.c_Share_of_adults_age_45_and_older_who_have_completed_secondary_school_or_higher_Percentage_disaggregation_c" ref="P116:T132" totalsRowShown="0" headerRowDxfId="1350" dataDxfId="1349">
  <autoFilter ref="P116:T132" xr:uid="{CE8C3B7F-1A1C-DD46-ACA9-687095D73C4D}"/>
  <tableColumns count="5">
    <tableColumn id="1" xr3:uid="{D19C441F-E850-B844-AA5E-329987D448B7}" name="Region" dataDxfId="1348"/>
    <tableColumn id="2" xr3:uid="{F32A192B-B1CB-F542-878D-EFC2375EDC32}" name="No or some difficulty" dataDxfId="1347"/>
    <tableColumn id="3" xr3:uid="{A794F14B-2BEB-1540-94C1-DCF351D16117}" name="At least a lot of difficulty" dataDxfId="1346"/>
    <tableColumn id="4" xr3:uid="{2513B707-44D1-BA41-8438-31EBE25E000D}" name="Difference" dataDxfId="1345"/>
    <tableColumn id="5" xr3:uid="{9A414C9E-5E27-894E-B95A-CCC730633D34}" name="Statistical Significance of the Difference" dataDxfId="1344"/>
  </tableColumns>
  <tableStyleInfo name="TableStyleMedium2" showFirstColumn="1" showLastColumn="0" showRowStripes="1" showColumnStripes="0"/>
</table>
</file>

<file path=xl/tables/table1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0" xr:uid="{E1065F04-EA45-4746-8F58-23D0FD40FE31}" name="Table_H1.1.a_Share_of_all_adults_in_households_using_safely_managed_drinking_water_Percentage_disaggregation_a" displayName="Table_H1.1.a_Share_of_all_adults_in_households_using_safely_managed_drinking_water_Percentage_disaggregation_a" ref="A2:E18" totalsRowShown="0" headerRowDxfId="1343" dataDxfId="1342">
  <autoFilter ref="A2:E18" xr:uid="{E1065F04-EA45-4746-8F58-23D0FD40FE31}"/>
  <tableColumns count="5">
    <tableColumn id="1" xr3:uid="{DBFB4A86-ED05-E74F-BC29-2DCBDCBDDD05}" name="Region" dataDxfId="1341"/>
    <tableColumn id="2" xr3:uid="{22EF98B3-4C5A-0642-BAA1-B34A3348843C}" name="No difficulty" dataDxfId="1340"/>
    <tableColumn id="3" xr3:uid="{857019AA-7EBE-884F-B3E7-158E0FF2D5A4}" name="Any difficulty" dataDxfId="1339"/>
    <tableColumn id="4" xr3:uid="{1865D5B2-803F-5C40-A37B-DDD199B62D01}" name="Difference" dataDxfId="1338"/>
    <tableColumn id="5" xr3:uid="{A2384700-D6DF-D640-99C8-53B4F359DE31}" name="Statistical Significance of the Difference" dataDxfId="1337"/>
  </tableColumns>
  <tableStyleInfo name="TableStyleMedium2" showFirstColumn="1" showLastColumn="0" showRowStripes="1" showColumnStripes="0"/>
</table>
</file>

<file path=xl/tables/table1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1" xr:uid="{BE91AB71-6380-9246-82E9-B1CFE616AFAE}" name="Table_H1.1.b_Share_of_all_adults_in_households_using_safely_managed_drinking_water_Percentage_disaggregation_b" displayName="Table_H1.1.b_Share_of_all_adults_in_households_using_safely_managed_drinking_water_Percentage_disaggregation_b" ref="G2:N18" totalsRowShown="0" headerRowDxfId="1336" dataDxfId="1335">
  <autoFilter ref="G2:N18" xr:uid="{BE91AB71-6380-9246-82E9-B1CFE616AFAE}"/>
  <tableColumns count="8">
    <tableColumn id="1" xr3:uid="{65382512-C4FC-844F-89A6-B2AD60A4D77F}" name="Region" dataDxfId="1334"/>
    <tableColumn id="2" xr3:uid="{6594AC43-41A1-2548-B0C7-910BD4A6104E}" name="No difficulty" dataDxfId="1333"/>
    <tableColumn id="3" xr3:uid="{1ED0B652-779B-0340-9E24-0F255F9D2AEC}" name="Some difficulty" dataDxfId="1332"/>
    <tableColumn id="4" xr3:uid="{C4B7C932-4301-6D45-B034-9EC2128CBBC0}" name="Difference" dataDxfId="1331"/>
    <tableColumn id="5" xr3:uid="{EDC98EE2-0F49-A54E-977F-19201B5561E6}" name="Statistical Significance of the Difference" dataDxfId="1330"/>
    <tableColumn id="6" xr3:uid="{D480C284-A40E-D04A-BCBB-334EF6839A09}" name="At least a lot of difficulty" dataDxfId="1329"/>
    <tableColumn id="7" xr3:uid="{25928A8C-49FC-5A40-A200-0F6ABDA0FC99}" name="Difference No difficulty &amp; At least a lot of difficulty" dataDxfId="1328"/>
    <tableColumn id="8" xr3:uid="{1A6821A4-41D1-1E41-B782-9198131AF567}" name="Statistical Significance of the Difference (No difficulty vs At least a lot)" dataDxfId="1327"/>
  </tableColumns>
  <tableStyleInfo name="TableStyleMedium2" showFirstColumn="1" showLastColumn="0" showRowStripes="1" showColumnStripes="0"/>
</table>
</file>

<file path=xl/tables/table1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2" xr:uid="{D5D22F80-A4A6-304A-86E2-229B0153F5BF}" name="Table_H1.1.c_Share_of_all_adults_in_households_using_safely_managed_drinking_water_Percentage_disaggregation_c" displayName="Table_H1.1.c_Share_of_all_adults_in_households_using_safely_managed_drinking_water_Percentage_disaggregation_c" ref="P2:T18" totalsRowShown="0" headerRowDxfId="1326" dataDxfId="1325">
  <autoFilter ref="P2:T18" xr:uid="{D5D22F80-A4A6-304A-86E2-229B0153F5BF}"/>
  <tableColumns count="5">
    <tableColumn id="1" xr3:uid="{33655E78-7DB5-BE48-99EE-945277701D5F}" name="Region" dataDxfId="1324"/>
    <tableColumn id="2" xr3:uid="{10C886A9-D3CD-0B42-9607-13BC8BDDB263}" name="No or some difficulty" dataDxfId="1323"/>
    <tableColumn id="3" xr3:uid="{432757A3-A2AD-4043-A21D-592A0838DCD8}" name="At least a lot of difficulty" dataDxfId="1322"/>
    <tableColumn id="4" xr3:uid="{87471565-CF3B-A245-800E-50F1064DFBEC}" name="Difference" dataDxfId="1321"/>
    <tableColumn id="5" xr3:uid="{45A6E0BD-FD92-CD46-B0FE-8A04E68A102A}" name="Statistical Significance of the Difference" dataDxfId="1320"/>
  </tableColumns>
  <tableStyleInfo name="TableStyleMedium2" showFirstColumn="1" showLastColumn="0" showRowStripes="1" showColumnStripes="0"/>
</table>
</file>

<file path=xl/tables/table1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3" xr:uid="{772AF1DE-24EA-664C-8D35-C249D3E04CCD}" name="Table_H1.2.a_Share_of_females_in_households_using_safely_managed_drinking_water_Percentage_disaggregation_a" displayName="Table_H1.2.a_Share_of_females_in_households_using_safely_managed_drinking_water_Percentage_disaggregation_a" ref="A21:E37" totalsRowShown="0" headerRowDxfId="1319" dataDxfId="1318">
  <autoFilter ref="A21:E37" xr:uid="{772AF1DE-24EA-664C-8D35-C249D3E04CCD}"/>
  <tableColumns count="5">
    <tableColumn id="1" xr3:uid="{6AE50C66-6E5A-5A46-9B72-9108A11EFB64}" name="Region" dataDxfId="1317"/>
    <tableColumn id="2" xr3:uid="{49BE7312-1CAE-4947-A459-1110712F30FA}" name="No difficulty" dataDxfId="1316"/>
    <tableColumn id="3" xr3:uid="{375D9A44-DED7-DD4A-926E-EE3DEF437DCD}" name="Any difficulty" dataDxfId="1315"/>
    <tableColumn id="4" xr3:uid="{C27A4C48-28BE-0C4F-8A63-45374A4B227F}" name="Difference" dataDxfId="1314"/>
    <tableColumn id="5" xr3:uid="{A344C891-98AB-D04B-9F17-AA552E9142DE}" name="Statistical Significance of the Difference" dataDxfId="1313"/>
  </tableColumns>
  <tableStyleInfo name="TableStyleMedium2" showFirstColumn="1" showLastColumn="0" showRowStripes="1" showColumnStripes="0"/>
</table>
</file>

<file path=xl/tables/table1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4" xr:uid="{7D302424-CE98-CD43-9E84-F1640D4B9DF2}" name="Table_H1.2.b_Share_of_females_in_households_using_safely_managed_drinking_water_Percentage_disaggregation_b" displayName="Table_H1.2.b_Share_of_females_in_households_using_safely_managed_drinking_water_Percentage_disaggregation_b" ref="G21:N37" totalsRowShown="0" headerRowDxfId="1312" dataDxfId="1311">
  <autoFilter ref="G21:N37" xr:uid="{7D302424-CE98-CD43-9E84-F1640D4B9DF2}"/>
  <tableColumns count="8">
    <tableColumn id="1" xr3:uid="{F16F6D23-0545-6144-899B-C7275B81E2F6}" name="Region" dataDxfId="1310"/>
    <tableColumn id="2" xr3:uid="{E922BADF-994D-744E-900E-C02981DC2F81}" name="No difficulty" dataDxfId="1309"/>
    <tableColumn id="3" xr3:uid="{3A9E0E23-C7C8-C24B-BD3F-C296101DA965}" name="Some difficulty" dataDxfId="1308"/>
    <tableColumn id="4" xr3:uid="{3DBAF516-A4EA-5045-9D74-6042DA1035B2}" name="Difference" dataDxfId="1307"/>
    <tableColumn id="5" xr3:uid="{A5145235-7CCC-594A-B0EE-F9DD7F9BC1B6}" name="Statistical Significance of the Difference" dataDxfId="1306"/>
    <tableColumn id="6" xr3:uid="{30AFD7BC-E40B-B649-A0C2-38B698956A90}" name="At least a lot of difficulty" dataDxfId="1305"/>
    <tableColumn id="7" xr3:uid="{E46C9A00-9A93-5C40-82F9-7B64F24A9796}" name="Difference No difficulty &amp; At least a lot of difficulty" dataDxfId="1304"/>
    <tableColumn id="8" xr3:uid="{BBC1202A-E1E0-5942-BB51-866C211DF099}" name="Statistical Significance of the Difference (No difficulty vs At least a lot)" dataDxfId="1303"/>
  </tableColumns>
  <tableStyleInfo name="TableStyleMedium2" showFirstColumn="1" showLastColumn="0" showRowStripes="1" showColumnStripes="0"/>
</table>
</file>

<file path=xl/tables/table1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5" xr:uid="{B7F1D628-192F-5446-A1CE-B3513A742247}" name="Table_H1.2.c_Share_of_females_in_households_using_safely_managed_drinking_water_Percentage_disaggregation_c" displayName="Table_H1.2.c_Share_of_females_in_households_using_safely_managed_drinking_water_Percentage_disaggregation_c" ref="P21:T37" totalsRowShown="0" headerRowDxfId="1302" dataDxfId="1301">
  <autoFilter ref="P21:T37" xr:uid="{B7F1D628-192F-5446-A1CE-B3513A742247}"/>
  <tableColumns count="5">
    <tableColumn id="1" xr3:uid="{2C782A8E-9972-AC46-A343-2AF8F5C0141B}" name="Region" dataDxfId="1300"/>
    <tableColumn id="2" xr3:uid="{FB97FD5C-6AA4-BF40-8AB7-218E6CD57E30}" name="No or some difficulty" dataDxfId="1299"/>
    <tableColumn id="3" xr3:uid="{3B6853F1-2502-EA46-A77F-5786BD86359A}" name="At least a lot of difficulty" dataDxfId="1298"/>
    <tableColumn id="4" xr3:uid="{5F62F37D-1AC2-9743-AD30-651A1E2A6FD9}" name="Difference" dataDxfId="1297"/>
    <tableColumn id="5" xr3:uid="{7C0C79AB-38CF-CD43-9136-B447B50EB8A6}" name="Statistical Significance of the Difference" dataDxfId="1296"/>
  </tableColumns>
  <tableStyleInfo name="TableStyleMedium2" showFirstColumn="1" showLastColumn="0" showRowStripes="1" showColumnStripes="0"/>
</table>
</file>

<file path=xl/tables/table1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6" xr:uid="{CBC4E424-BF98-5F42-B1A7-FD9737F23E33}" name="Table_H1.3.a_Share_of_males_in_households_using_safely_managed_drinking_water_Percentage_disaggregation_a" displayName="Table_H1.3.a_Share_of_males_in_households_using_safely_managed_drinking_water_Percentage_disaggregation_a" ref="A40:E56" totalsRowShown="0" headerRowDxfId="1295" dataDxfId="1294">
  <autoFilter ref="A40:E56" xr:uid="{CBC4E424-BF98-5F42-B1A7-FD9737F23E33}"/>
  <tableColumns count="5">
    <tableColumn id="1" xr3:uid="{761B4971-B6D3-1E4E-8767-0AE5F3595B26}" name="Region" dataDxfId="1293"/>
    <tableColumn id="2" xr3:uid="{D94F6182-3DF4-E649-B7C5-28725E7E32E4}" name="No difficulty" dataDxfId="1292"/>
    <tableColumn id="3" xr3:uid="{9CC66259-EA54-6346-9197-7F26FAD22ED7}" name="Any difficulty" dataDxfId="1291"/>
    <tableColumn id="4" xr3:uid="{9C0C4E71-5841-694E-8DFF-187A1C682328}" name="Difference" dataDxfId="1290"/>
    <tableColumn id="5" xr3:uid="{0F3DE4DE-0D62-CA43-8CD5-499BD910E501}" name="Statistical Significance of the Difference" dataDxfId="1289"/>
  </tableColumns>
  <tableStyleInfo name="TableStyleMedium2" showFirstColumn="1" showLastColumn="0" showRowStripes="1" showColumnStripes="0"/>
</table>
</file>

<file path=xl/tables/table1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7" xr:uid="{02F1A64B-5265-714D-BA1E-D35C738C3F78}" name="Table_H1.3.b_Share_of_males_in_households_using_safely_managed_drinking_water_Percentage_disaggregation_b" displayName="Table_H1.3.b_Share_of_males_in_households_using_safely_managed_drinking_water_Percentage_disaggregation_b" ref="G40:N56" totalsRowShown="0" headerRowDxfId="1288" dataDxfId="1287">
  <autoFilter ref="G40:N56" xr:uid="{02F1A64B-5265-714D-BA1E-D35C738C3F78}"/>
  <tableColumns count="8">
    <tableColumn id="1" xr3:uid="{A0C86A39-28A0-C642-A853-F3266423A9BF}" name="Region" dataDxfId="1286"/>
    <tableColumn id="2" xr3:uid="{6A491668-9A24-B942-BF44-F1227F0CC2B6}" name="No difficulty" dataDxfId="1285"/>
    <tableColumn id="3" xr3:uid="{94F347A8-F878-5D4F-A5E8-19242AA4362D}" name="Some difficulty" dataDxfId="1284"/>
    <tableColumn id="4" xr3:uid="{B9B01274-2043-4145-8F21-663C1268C6B3}" name="Difference" dataDxfId="1283"/>
    <tableColumn id="5" xr3:uid="{6F5E4481-AF63-4948-BCCF-7F31C203A303}" name="Statistical Significance of the Difference" dataDxfId="1282"/>
    <tableColumn id="6" xr3:uid="{C2D9E7FF-F78A-C945-91C2-6AD2D2681FA2}" name="At least a lot of difficulty" dataDxfId="1281"/>
    <tableColumn id="7" xr3:uid="{C7EBD553-4359-DC4C-9073-3C4FDE8A8672}" name="Difference No difficulty &amp; At least a lot of difficulty" dataDxfId="1280"/>
    <tableColumn id="8" xr3:uid="{A3BC9761-9CE4-2E47-8B58-D2D4163B354B}" name="Statistical Significance of the Difference (No difficulty vs At least a lot)" dataDxfId="1279"/>
  </tableColumns>
  <tableStyleInfo name="TableStyleMedium2" showFirstColumn="1" showLastColumn="0" showRowStripes="1" showColumnStripes="0"/>
</table>
</file>

<file path=xl/tables/table1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8" xr:uid="{361B479F-84F8-AB4D-8923-B884CB0F519E}" name="Table_H1.3.c_Share_of_males_in_households_using_safely_managed_drinking_water_Percentage_disaggregation_c" displayName="Table_H1.3.c_Share_of_males_in_households_using_safely_managed_drinking_water_Percentage_disaggregation_c" ref="P40:T56" totalsRowShown="0" headerRowDxfId="1278" dataDxfId="1277">
  <autoFilter ref="P40:T56" xr:uid="{361B479F-84F8-AB4D-8923-B884CB0F519E}"/>
  <tableColumns count="5">
    <tableColumn id="1" xr3:uid="{A4B1C12F-CEB2-8444-9C99-C054781C1464}" name="Region" dataDxfId="1276"/>
    <tableColumn id="2" xr3:uid="{2CA560BB-233A-1E40-A290-9DB2EDE794AB}" name="No or some difficulty" dataDxfId="1275"/>
    <tableColumn id="3" xr3:uid="{E67DE320-01FC-8242-A77E-D70E7780F218}" name="At least a lot of difficulty" dataDxfId="1274"/>
    <tableColumn id="4" xr3:uid="{C98D0363-8445-5C43-960C-ACDBFC6DD216}" name="Difference" dataDxfId="1273"/>
    <tableColumn id="5" xr3:uid="{E58919E2-CC2E-A846-A9BC-CA7C6A7E6A4F}" name="Statistical Significance of the Difference" dataDxfId="1272"/>
  </tableColumns>
  <tableStyleInfo name="TableStyleMedium2" showFirstColumn="1"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44366340-C380-6E43-9044-389440EF916C}" name="Table_P3.1_Share_of_all_households_with_functional_difficulties_Percentage" displayName="Table_P3.1_Share_of_all_households_with_functional_difficulties_Percentage" ref="A2:D18" totalsRowShown="0" headerRowDxfId="2153" dataDxfId="2152">
  <autoFilter ref="A2:D18" xr:uid="{44366340-C380-6E43-9044-389440EF916C}"/>
  <tableColumns count="4">
    <tableColumn id="1" xr3:uid="{AE97533E-217C-7F49-ACD0-442E4A9E7ECC}" name="Region" dataDxfId="2151"/>
    <tableColumn id="2" xr3:uid="{B4F7D119-D789-1143-AAB1-66A8D491BAB5}" name="Any difficulty" dataDxfId="2150"/>
    <tableColumn id="3" xr3:uid="{C6989F6D-4E0D-D344-A8ED-60DC2B2B859A}" name="Some difficulty" dataDxfId="2149"/>
    <tableColumn id="4" xr3:uid="{39F54085-9CF1-4B48-BB14-2E5FA879EF2E}" name="At least a lot of difficulty" dataDxfId="2148"/>
  </tableColumns>
  <tableStyleInfo name="TableStyleMedium2" showFirstColumn="1" showLastColumn="0" showRowStripes="1" showColumnStripes="0"/>
</table>
</file>

<file path=xl/tables/table1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9" xr:uid="{79D985C7-858A-9D42-8305-F2ED2FFD4581}" name="Table_H1.4.a_Share_of_rural_residents_in_households_using_safely_managed_drinking_water_Percentage_disaggregation_a" displayName="Table_H1.4.a_Share_of_rural_residents_in_households_using_safely_managed_drinking_water_Percentage_disaggregation_a" ref="A59:E75" totalsRowShown="0" headerRowDxfId="1271" dataDxfId="1270">
  <autoFilter ref="A59:E75" xr:uid="{79D985C7-858A-9D42-8305-F2ED2FFD4581}"/>
  <tableColumns count="5">
    <tableColumn id="1" xr3:uid="{A2A3AF2E-5737-8E4A-9CAB-5CE3AD4953D5}" name="Region" dataDxfId="1269"/>
    <tableColumn id="2" xr3:uid="{D691DD88-C841-8146-B64A-4BC504A1F62A}" name="No difficulty" dataDxfId="1268"/>
    <tableColumn id="3" xr3:uid="{35F4EBA4-14B6-FF44-855A-F1511D5F11A4}" name="Any difficulty" dataDxfId="1267"/>
    <tableColumn id="4" xr3:uid="{AB2F7744-828A-B741-A08D-C42851C54FF9}" name="Difference" dataDxfId="1266"/>
    <tableColumn id="5" xr3:uid="{701AE181-6AF2-0942-8A7C-5EC329E98FD0}" name="Statistical Significance of the Difference" dataDxfId="1265"/>
  </tableColumns>
  <tableStyleInfo name="TableStyleMedium2" showFirstColumn="1" showLastColumn="0" showRowStripes="1" showColumnStripes="0"/>
</table>
</file>

<file path=xl/tables/table1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0" xr:uid="{55A93212-86C1-A843-A5B3-88990A1E7DBF}" name="Table_H1.4.b_Share_of_rural_residents_in_households_using_safely_managed_drinking_water_Percentage_disaggregation_b" displayName="Table_H1.4.b_Share_of_rural_residents_in_households_using_safely_managed_drinking_water_Percentage_disaggregation_b" ref="G59:N75" totalsRowShown="0" headerRowDxfId="1264" dataDxfId="1263">
  <autoFilter ref="G59:N75" xr:uid="{55A93212-86C1-A843-A5B3-88990A1E7DBF}"/>
  <tableColumns count="8">
    <tableColumn id="1" xr3:uid="{0CD7AAA1-6BEE-3546-8AF1-4756DDB4B984}" name="Region" dataDxfId="1262"/>
    <tableColumn id="2" xr3:uid="{9C6F591D-4D4A-894C-8A51-9A033D84F635}" name="No difficulty" dataDxfId="1261"/>
    <tableColumn id="3" xr3:uid="{E274E832-3313-B74B-83F7-FB51409D507D}" name="Some difficulty" dataDxfId="1260"/>
    <tableColumn id="4" xr3:uid="{664BA4C3-714A-1C4D-89C7-47A9BD768D08}" name="Difference" dataDxfId="1259"/>
    <tableColumn id="5" xr3:uid="{CA1D50D0-FB2C-4F4C-BB4E-145B0DC6EEF5}" name="Statistical Significance of the Difference" dataDxfId="1258"/>
    <tableColumn id="6" xr3:uid="{FF6A61CE-08EB-7342-8ECE-9C7399A606C6}" name="At least a lot of difficulty" dataDxfId="1257"/>
    <tableColumn id="7" xr3:uid="{47C24D9C-60EF-BE4C-9841-ED6C7BAC1CDF}" name="Difference No difficulty &amp; At least a lot of difficulty" dataDxfId="1256"/>
    <tableColumn id="8" xr3:uid="{3A9C3314-BADB-004F-BCEB-7860B735250C}" name="Statistical Significance of the Difference (No difficulty vs At least a lot)" dataDxfId="1255"/>
  </tableColumns>
  <tableStyleInfo name="TableStyleMedium2" showFirstColumn="1" showLastColumn="0" showRowStripes="1" showColumnStripes="0"/>
</table>
</file>

<file path=xl/tables/table1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1" xr:uid="{8CB97389-70B8-754F-8C3B-E591E74D59BB}" name="Table_H1.4.c_Share_of_rural_residents_in_households_using_safely_managed_drinking_water_Percentage_disaggregation_c" displayName="Table_H1.4.c_Share_of_rural_residents_in_households_using_safely_managed_drinking_water_Percentage_disaggregation_c" ref="P59:T75" totalsRowShown="0" headerRowDxfId="1254" dataDxfId="1253">
  <autoFilter ref="P59:T75" xr:uid="{8CB97389-70B8-754F-8C3B-E591E74D59BB}"/>
  <tableColumns count="5">
    <tableColumn id="1" xr3:uid="{A93AF905-F81A-994D-87A5-C9B7DFBE48DF}" name="Region" dataDxfId="1252"/>
    <tableColumn id="2" xr3:uid="{A84ECDFB-429A-1D44-9849-97DC2BC45E99}" name="No or some difficulty" dataDxfId="1251"/>
    <tableColumn id="3" xr3:uid="{EC710743-3931-AD49-B134-2F1C456FE867}" name="At least a lot of difficulty" dataDxfId="1250"/>
    <tableColumn id="4" xr3:uid="{9E42F723-A635-884D-8D10-F351E69BA497}" name="Difference" dataDxfId="1249"/>
    <tableColumn id="5" xr3:uid="{61E53994-E1BB-8F45-8602-465ED33B4962}" name="Statistical Significance of the Difference" dataDxfId="1248"/>
  </tableColumns>
  <tableStyleInfo name="TableStyleMedium2" showFirstColumn="1" showLastColumn="0" showRowStripes="1" showColumnStripes="0"/>
</table>
</file>

<file path=xl/tables/table1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2" xr:uid="{6C2257A3-CBA7-E44F-A743-E1D3916CE07E}" name="Table_H1.5.a_Share_of_urban_residents_in_households_using_safely_managed_drinking_water_Percentage_disaggregation_a" displayName="Table_H1.5.a_Share_of_urban_residents_in_households_using_safely_managed_drinking_water_Percentage_disaggregation_a" ref="A78:E94" totalsRowShown="0" headerRowDxfId="1247" dataDxfId="1246">
  <autoFilter ref="A78:E94" xr:uid="{6C2257A3-CBA7-E44F-A743-E1D3916CE07E}"/>
  <tableColumns count="5">
    <tableColumn id="1" xr3:uid="{182E2B31-A048-E143-B2AE-5DA734CC4C37}" name="Region" dataDxfId="1245"/>
    <tableColumn id="2" xr3:uid="{FEE69FF7-3FEC-9A4D-B660-9B456721991E}" name="No difficulty" dataDxfId="1244"/>
    <tableColumn id="3" xr3:uid="{FA4158D8-3268-F14B-BC4A-B9295A201A10}" name="Any difficulty" dataDxfId="1243"/>
    <tableColumn id="4" xr3:uid="{0BF80527-604F-1C45-A2DB-B0FB18B21BD3}" name="Difference" dataDxfId="1242"/>
    <tableColumn id="5" xr3:uid="{E444C4EA-F285-D14B-9F34-444130E9C206}" name="Statistical Significance of the Difference" dataDxfId="1241"/>
  </tableColumns>
  <tableStyleInfo name="TableStyleMedium2" showFirstColumn="1" showLastColumn="0" showRowStripes="1" showColumnStripes="0"/>
</table>
</file>

<file path=xl/tables/table1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3" xr:uid="{6F1A7D9A-C115-954C-A56C-3F9787FE584F}" name="Table_H1.5.b_Share_of_urban_residents_in_households_using_safely_managed_drinking_water_Percentage_disaggregation_b" displayName="Table_H1.5.b_Share_of_urban_residents_in_households_using_safely_managed_drinking_water_Percentage_disaggregation_b" ref="G78:N94" totalsRowShown="0" headerRowDxfId="1240" dataDxfId="1239">
  <autoFilter ref="G78:N94" xr:uid="{6F1A7D9A-C115-954C-A56C-3F9787FE584F}"/>
  <tableColumns count="8">
    <tableColumn id="1" xr3:uid="{DAD81D6C-F6E7-2446-9339-B1A1E898CDE9}" name="Region" dataDxfId="1238"/>
    <tableColumn id="2" xr3:uid="{6DC76584-BBE6-8942-81AF-81F0F120B686}" name="No difficulty" dataDxfId="1237"/>
    <tableColumn id="3" xr3:uid="{5F9B538D-76D6-E045-80FC-67CF02FF0DBA}" name="Some difficulty" dataDxfId="1236"/>
    <tableColumn id="4" xr3:uid="{146427F3-C528-0D4F-8E02-74CF6FEE4293}" name="Difference" dataDxfId="1235"/>
    <tableColumn id="5" xr3:uid="{7CF24437-1993-9E4D-B813-396BF5196138}" name="Statistical Significance of the Difference" dataDxfId="1234"/>
    <tableColumn id="6" xr3:uid="{423BEBF9-B2C0-D240-978B-27DCCCB10DAD}" name="At least a lot of difficulty" dataDxfId="1233"/>
    <tableColumn id="7" xr3:uid="{67CED1AF-7CD0-8848-A076-70F77929DF11}" name="Difference No difficulty &amp; At least a lot of difficulty" dataDxfId="1232"/>
    <tableColumn id="8" xr3:uid="{D45B12C2-BE71-7747-9370-78936465CF93}" name="Statistical Significance of the Difference (No difficulty vs At least a lot)" dataDxfId="1231"/>
  </tableColumns>
  <tableStyleInfo name="TableStyleMedium2" showFirstColumn="1" showLastColumn="0" showRowStripes="1" showColumnStripes="0"/>
</table>
</file>

<file path=xl/tables/table1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4" xr:uid="{A95EB626-2F53-CF48-9FB1-FC2EFB39E6B7}" name="Table_H1.5.c_Share_of_urban_residents_in_households_using_safely_managed_drinking_water_Percentage_disaggregation_c" displayName="Table_H1.5.c_Share_of_urban_residents_in_households_using_safely_managed_drinking_water_Percentage_disaggregation_c" ref="P78:T94" totalsRowShown="0" headerRowDxfId="1230" dataDxfId="1229">
  <autoFilter ref="P78:T94" xr:uid="{A95EB626-2F53-CF48-9FB1-FC2EFB39E6B7}"/>
  <tableColumns count="5">
    <tableColumn id="1" xr3:uid="{768A3683-8F90-1E4D-A527-6DA089BD2541}" name="Region" dataDxfId="1228"/>
    <tableColumn id="2" xr3:uid="{9810AD58-3FCD-6045-9168-E5F385070C4F}" name="No or some difficulty" dataDxfId="1227"/>
    <tableColumn id="3" xr3:uid="{D58F7956-C943-BC4C-AC6B-E6B446E4095C}" name="At least a lot of difficulty" dataDxfId="1226"/>
    <tableColumn id="4" xr3:uid="{004A8A5C-0BAE-DA41-BDD2-E2D1A4A22B8A}" name="Difference" dataDxfId="1225"/>
    <tableColumn id="5" xr3:uid="{E0E34385-B6B1-F242-BD37-C788FBE5CD85}" name="Statistical Significance of the Difference" dataDxfId="1224"/>
  </tableColumns>
  <tableStyleInfo name="TableStyleMedium2" showFirstColumn="1" showLastColumn="0" showRowStripes="1" showColumnStripes="0"/>
</table>
</file>

<file path=xl/tables/table1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5" xr:uid="{0A2083CC-DB10-F34A-9669-C26C6FB9E775}" name="Table_H1.6.a_Share_of_adults_age_15_to_44_in_households_using_safely_managed_drinking_water_Percentage_disaggregation_a" displayName="Table_H1.6.a_Share_of_adults_age_15_to_44_in_households_using_safely_managed_drinking_water_Percentage_disaggregation_a" ref="A97:E113" totalsRowShown="0" headerRowDxfId="1223" dataDxfId="1222">
  <autoFilter ref="A97:E113" xr:uid="{0A2083CC-DB10-F34A-9669-C26C6FB9E775}"/>
  <tableColumns count="5">
    <tableColumn id="1" xr3:uid="{474B1D66-9EEA-214F-968C-F04F07026BB6}" name="Region" dataDxfId="1221"/>
    <tableColumn id="2" xr3:uid="{AA08C3A6-0492-D349-BC5B-24C8E0A2CCC8}" name="No difficulty" dataDxfId="1220"/>
    <tableColumn id="3" xr3:uid="{D981ECC9-9C96-9F4E-8777-D26F5BB21125}" name="Any difficulty" dataDxfId="1219"/>
    <tableColumn id="4" xr3:uid="{BCA73CBE-DFFD-414E-ACF5-EA91EDF425E9}" name="Difference" dataDxfId="1218"/>
    <tableColumn id="5" xr3:uid="{07465FBE-34A7-FB4F-AF83-8F52FC3D74DF}" name="Statistical Significance of the Difference" dataDxfId="1217"/>
  </tableColumns>
  <tableStyleInfo name="TableStyleMedium2" showFirstColumn="1" showLastColumn="0" showRowStripes="1" showColumnStripes="0"/>
</table>
</file>

<file path=xl/tables/table1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6" xr:uid="{0E5CEE73-4420-294F-90DC-9A7204F61723}" name="Table_H1.6.b_Share_of_adults_age_15_to_44_in_households_using_safely_managed_drinking_water_Percentage_disaggregation_b" displayName="Table_H1.6.b_Share_of_adults_age_15_to_44_in_households_using_safely_managed_drinking_water_Percentage_disaggregation_b" ref="G97:N113" totalsRowShown="0" headerRowDxfId="1216" dataDxfId="1215">
  <autoFilter ref="G97:N113" xr:uid="{0E5CEE73-4420-294F-90DC-9A7204F61723}"/>
  <tableColumns count="8">
    <tableColumn id="1" xr3:uid="{7CDA5E9B-83FF-CB4C-81B0-80534A9B3CD1}" name="Region" dataDxfId="1214"/>
    <tableColumn id="2" xr3:uid="{12CD68BE-C0B7-F545-8DE0-A0803CFFD20C}" name="No difficulty" dataDxfId="1213"/>
    <tableColumn id="3" xr3:uid="{134FB6D6-A239-AD41-B7A5-6ECD40C70576}" name="Some difficulty" dataDxfId="1212"/>
    <tableColumn id="4" xr3:uid="{40AE2741-2818-1242-8731-CCA2E96155A0}" name="Difference" dataDxfId="1211"/>
    <tableColumn id="5" xr3:uid="{95AB0089-B234-6E4C-88E3-8E55EBF23D8C}" name="Statistical Significance of the Difference" dataDxfId="1210"/>
    <tableColumn id="6" xr3:uid="{FC27A329-3C38-3345-A9FC-C06B9B1A54FB}" name="At least a lot of difficulty" dataDxfId="1209"/>
    <tableColumn id="7" xr3:uid="{2CA5CADD-0557-D444-9885-8CD3219955B2}" name="Difference No difficulty &amp; At least a lot of difficulty" dataDxfId="1208"/>
    <tableColumn id="8" xr3:uid="{25497BC8-CF6D-A449-AB23-77FE0C8878CD}" name="Statistical Significance of the Difference (No difficulty vs At least a lot)" dataDxfId="1207"/>
  </tableColumns>
  <tableStyleInfo name="TableStyleMedium2" showFirstColumn="1" showLastColumn="0" showRowStripes="1" showColumnStripes="0"/>
</table>
</file>

<file path=xl/tables/table1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7" xr:uid="{FA31266C-15C5-F444-9CD2-DE4E3E332760}" name="Table_H1.6.c_Share_of_adults_age_15_to_44_in_households_using_safely_managed_drinking_water_Percentage_disaggregation_c" displayName="Table_H1.6.c_Share_of_adults_age_15_to_44_in_households_using_safely_managed_drinking_water_Percentage_disaggregation_c" ref="P97:T113" totalsRowShown="0" headerRowDxfId="1206" dataDxfId="1205">
  <autoFilter ref="P97:T113" xr:uid="{FA31266C-15C5-F444-9CD2-DE4E3E332760}"/>
  <tableColumns count="5">
    <tableColumn id="1" xr3:uid="{00BA819F-CE17-274C-ACA4-A49C14C7C5CF}" name="Region" dataDxfId="1204"/>
    <tableColumn id="2" xr3:uid="{C26FC41A-ECDE-5F45-8A7A-49AA906268E2}" name="No or some difficulty" dataDxfId="1203"/>
    <tableColumn id="3" xr3:uid="{F4CCD5AD-987D-3E4B-B84C-4971F9852150}" name="At least a lot of difficulty" dataDxfId="1202"/>
    <tableColumn id="4" xr3:uid="{64CE6E5B-E617-624C-BBA5-0A000AAC5006}" name="Difference" dataDxfId="1201"/>
    <tableColumn id="5" xr3:uid="{7C09FD9E-8B3E-FA4E-8957-74A958A31652}" name="Statistical Significance of the Difference" dataDxfId="1200"/>
  </tableColumns>
  <tableStyleInfo name="TableStyleMedium2" showFirstColumn="1" showLastColumn="0" showRowStripes="1" showColumnStripes="0"/>
</table>
</file>

<file path=xl/tables/table1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8" xr:uid="{79157D9A-727B-F248-8511-3716998B0561}" name="Table_H1.7.a_Share_of_adults_age_45_and_older_in_households_using_safely_managed_drinking_water_Percentage_disaggregation_a" displayName="Table_H1.7.a_Share_of_adults_age_45_and_older_in_households_using_safely_managed_drinking_water_Percentage_disaggregation_a" ref="A116:E132" totalsRowShown="0" headerRowDxfId="1199" dataDxfId="1198">
  <autoFilter ref="A116:E132" xr:uid="{79157D9A-727B-F248-8511-3716998B0561}"/>
  <tableColumns count="5">
    <tableColumn id="1" xr3:uid="{9ABCDB91-1A25-6A48-83E7-B949E8BFF42A}" name="Region" dataDxfId="1197"/>
    <tableColumn id="2" xr3:uid="{68296782-15A2-AE46-A5AE-4DC24F733B92}" name="No difficulty" dataDxfId="1196"/>
    <tableColumn id="3" xr3:uid="{8FAC96F7-6DB6-5D42-A900-8F74F7DFE746}" name="Any difficulty" dataDxfId="1195"/>
    <tableColumn id="4" xr3:uid="{783B96C4-D644-A04D-B285-A2BE777C7958}" name="Difference" dataDxfId="1194"/>
    <tableColumn id="5" xr3:uid="{C075EE10-1A6F-514D-ABEC-69F0AD7DAA61}" name="Statistical Significance of the Difference" dataDxfId="1193"/>
  </tableColumns>
  <tableStyleInfo name="TableStyleMedium2" showFirstColumn="1"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6D2C0A1A-7094-CA45-96D2-00896EF062E2}" name="Table_P3.2_Share_of_rural_households_with_functional_difficulties_Percentage" displayName="Table_P3.2_Share_of_rural_households_with_functional_difficulties_Percentage" ref="A21:D37" totalsRowShown="0" headerRowDxfId="2147" dataDxfId="2146">
  <autoFilter ref="A21:D37" xr:uid="{6D2C0A1A-7094-CA45-96D2-00896EF062E2}"/>
  <tableColumns count="4">
    <tableColumn id="1" xr3:uid="{ABF8B60A-57BB-A546-932D-5FD944EF420F}" name="Region" dataDxfId="2145"/>
    <tableColumn id="2" xr3:uid="{B3197E41-1CBE-FD41-9A63-E5B57130972D}" name="Any difficulty" dataDxfId="2144"/>
    <tableColumn id="3" xr3:uid="{AB71D8AE-D7E9-8B4B-9D69-22D5B2F32A82}" name="Some difficulty" dataDxfId="2143"/>
    <tableColumn id="4" xr3:uid="{13AB7F50-9996-FF46-B80D-46BDB3825A58}" name="At least a lot of difficulty" dataDxfId="2142"/>
  </tableColumns>
  <tableStyleInfo name="TableStyleMedium2" showFirstColumn="1" showLastColumn="0" showRowStripes="1" showColumnStripes="0"/>
</table>
</file>

<file path=xl/tables/table1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9" xr:uid="{0E570794-7B9D-4A4B-B1BF-E7389C3E26EF}" name="Table_H1.7.b_Share_of_adults_age_45_and_older_in_households_using_safely_managed_drinking_water_Percentage_disaggregation_b" displayName="Table_H1.7.b_Share_of_adults_age_45_and_older_in_households_using_safely_managed_drinking_water_Percentage_disaggregation_b" ref="G116:N132" totalsRowShown="0" headerRowDxfId="1192" dataDxfId="1191">
  <autoFilter ref="G116:N132" xr:uid="{0E570794-7B9D-4A4B-B1BF-E7389C3E26EF}"/>
  <tableColumns count="8">
    <tableColumn id="1" xr3:uid="{5886005D-B41D-5748-9B6F-F9C78BF8CC6E}" name="Region" dataDxfId="1190"/>
    <tableColumn id="2" xr3:uid="{966065CB-D27E-854B-B1BE-EE594CACF528}" name="No difficulty" dataDxfId="1189"/>
    <tableColumn id="3" xr3:uid="{B0B59023-52DF-AA49-9933-9E97C1F85EE8}" name="Some difficulty" dataDxfId="1188"/>
    <tableColumn id="4" xr3:uid="{50D2A4C5-0635-5B4E-8BE6-DD5E8408AB9F}" name="Difference" dataDxfId="1187"/>
    <tableColumn id="5" xr3:uid="{D19C8821-7C97-124D-A6D4-459372BD2CA5}" name="Statistical Significance of the Difference" dataDxfId="1186"/>
    <tableColumn id="6" xr3:uid="{D11C2CD5-3755-344D-8A5C-BC53DDD4963A}" name="At least a lot of difficulty" dataDxfId="1185"/>
    <tableColumn id="7" xr3:uid="{E421E3D9-09E7-CA49-8F24-67EF04B838B0}" name="Difference No difficulty &amp; At least a lot of difficulty" dataDxfId="1184"/>
    <tableColumn id="8" xr3:uid="{F0E3ABD3-D692-3F4A-AA8B-D7261D53CA5E}" name="Statistical Significance of the Difference (No difficulty vs At least a lot)" dataDxfId="1183"/>
  </tableColumns>
  <tableStyleInfo name="TableStyleMedium2" showFirstColumn="1" showLastColumn="0" showRowStripes="1" showColumnStripes="0"/>
</table>
</file>

<file path=xl/tables/table1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0" xr:uid="{B5CE54F9-FAA1-F74B-AF47-52AD99563674}" name="Table_H1.7.c_Share_of_adults_age_45_and_older_in_households_using_safely_managed_drinking_water_Percentage_disaggregation_c" displayName="Table_H1.7.c_Share_of_adults_age_45_and_older_in_households_using_safely_managed_drinking_water_Percentage_disaggregation_c" ref="P116:T132" totalsRowShown="0" headerRowDxfId="1182" dataDxfId="1181">
  <autoFilter ref="P116:T132" xr:uid="{B5CE54F9-FAA1-F74B-AF47-52AD99563674}"/>
  <tableColumns count="5">
    <tableColumn id="1" xr3:uid="{40580777-9769-E247-8C53-8FE5E7A0DC21}" name="Region" dataDxfId="1180"/>
    <tableColumn id="2" xr3:uid="{D84861EF-6C72-4E46-834C-C96C69E562CC}" name="No or some difficulty" dataDxfId="1179"/>
    <tableColumn id="3" xr3:uid="{35479682-3760-1842-B876-20469BC64A98}" name="At least a lot of difficulty" dataDxfId="1178"/>
    <tableColumn id="4" xr3:uid="{080A74B3-2105-6B45-87D2-3DB3C567E0A1}" name="Difference" dataDxfId="1177"/>
    <tableColumn id="5" xr3:uid="{4E91E266-6782-274D-8F45-509E4F6D3528}" name="Statistical Significance of the Difference" dataDxfId="1176"/>
  </tableColumns>
  <tableStyleInfo name="TableStyleMedium2" showFirstColumn="1" showLastColumn="0" showRowStripes="1" showColumnStripes="0"/>
</table>
</file>

<file path=xl/tables/table1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1" xr:uid="{AB7E49B1-BA44-DD4E-A5F6-690264CA6E08}" name="Table_H2.1.a_Share_of_all_adults_in_households_using_safely_managed_sanitation_services_Percentage_disaggregation_a" displayName="Table_H2.1.a_Share_of_all_adults_in_households_using_safely_managed_sanitation_services_Percentage_disaggregation_a" ref="A2:E18" totalsRowShown="0" headerRowDxfId="1175" dataDxfId="1174">
  <autoFilter ref="A2:E18" xr:uid="{AB7E49B1-BA44-DD4E-A5F6-690264CA6E08}"/>
  <tableColumns count="5">
    <tableColumn id="1" xr3:uid="{EF2D43E3-02D1-004E-ABB2-A66FAF7C90D3}" name="Region" dataDxfId="1173"/>
    <tableColumn id="2" xr3:uid="{216DF10A-5593-0445-9875-7047DB9320DB}" name="No difficulty" dataDxfId="1172"/>
    <tableColumn id="3" xr3:uid="{5685220F-E937-494E-83C9-324AEABF5886}" name="Any difficulty" dataDxfId="1171"/>
    <tableColumn id="4" xr3:uid="{A596BB54-928C-8045-8B0A-BE126194A438}" name="Difference" dataDxfId="1170"/>
    <tableColumn id="5" xr3:uid="{8A356223-7854-214A-8095-FD0E70654BD7}" name="Statistical Significance of the Difference" dataDxfId="1169"/>
  </tableColumns>
  <tableStyleInfo name="TableStyleMedium2" showFirstColumn="1" showLastColumn="0" showRowStripes="1" showColumnStripes="0"/>
</table>
</file>

<file path=xl/tables/table1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2" xr:uid="{6EAEBB60-3B11-E04D-BC6E-EF8850974B44}" name="Table_H2.1.b_Share_of_all_adults_in_households_using_safely_managed_sanitation_services_Percentage_disaggregation_b" displayName="Table_H2.1.b_Share_of_all_adults_in_households_using_safely_managed_sanitation_services_Percentage_disaggregation_b" ref="G2:N18" totalsRowShown="0" headerRowDxfId="1168" dataDxfId="1167">
  <autoFilter ref="G2:N18" xr:uid="{6EAEBB60-3B11-E04D-BC6E-EF8850974B44}"/>
  <tableColumns count="8">
    <tableColumn id="1" xr3:uid="{AB6E5A55-11D2-524D-9119-A526A8C42F53}" name="Region" dataDxfId="1166"/>
    <tableColumn id="2" xr3:uid="{E6C4E7E8-500D-C94F-A049-7A61638315EC}" name="No difficulty" dataDxfId="1165"/>
    <tableColumn id="3" xr3:uid="{2DA2A56C-05A3-5346-AFDB-D9379D9245DD}" name="Some difficulty" dataDxfId="1164"/>
    <tableColumn id="4" xr3:uid="{77BCE7F5-7B4C-4A46-A5F9-FFC0B7FBFF1E}" name="Difference" dataDxfId="1163"/>
    <tableColumn id="5" xr3:uid="{88452A7B-17BD-5143-826A-15FCBC9E4A22}" name="Statistical Significance of the Difference" dataDxfId="1162"/>
    <tableColumn id="6" xr3:uid="{415C4ECB-1BE1-A141-B90E-A1FC3052D98B}" name="At least a lot of difficulty" dataDxfId="1161"/>
    <tableColumn id="7" xr3:uid="{EB6B26BB-5369-014C-98EF-53E9B2302CC4}" name="Difference No difficulty &amp; At least a lot of difficulty" dataDxfId="1160"/>
    <tableColumn id="8" xr3:uid="{78B51F3D-F9D1-EB45-BF24-7CB6ECF16E30}" name="Statistical Significance of the Difference (No difficulty vs At least a lot)" dataDxfId="1159"/>
  </tableColumns>
  <tableStyleInfo name="TableStyleMedium2" showFirstColumn="1" showLastColumn="0" showRowStripes="1" showColumnStripes="0"/>
</table>
</file>

<file path=xl/tables/table1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3" xr:uid="{B0D8631B-646A-EF43-BFD4-3AB7FECF56BA}" name="Table_H2.1.c_Share_of_all_adults_in_households_using_safely_managed_sanitation_services_Percentage_disaggregation_c" displayName="Table_H2.1.c_Share_of_all_adults_in_households_using_safely_managed_sanitation_services_Percentage_disaggregation_c" ref="P2:T18" totalsRowShown="0" headerRowDxfId="1158" dataDxfId="1157">
  <autoFilter ref="P2:T18" xr:uid="{B0D8631B-646A-EF43-BFD4-3AB7FECF56BA}"/>
  <tableColumns count="5">
    <tableColumn id="1" xr3:uid="{C40BCE25-DD24-7240-824F-F5A62421AA41}" name="Region" dataDxfId="1156"/>
    <tableColumn id="2" xr3:uid="{590A2347-C797-AC4D-B0DC-FCC966574828}" name="No or some difficulty" dataDxfId="1155"/>
    <tableColumn id="3" xr3:uid="{19A540AF-F8AF-1C46-B8FC-93078C1CD1D4}" name="At least a lot of difficulty" dataDxfId="1154"/>
    <tableColumn id="4" xr3:uid="{576E1457-4881-5144-9544-4871BBB3EEE7}" name="Difference" dataDxfId="1153"/>
    <tableColumn id="5" xr3:uid="{D02622EB-6CF0-7246-97C1-DB3DFE61B06B}" name="Statistical Significance of the Difference" dataDxfId="1152"/>
  </tableColumns>
  <tableStyleInfo name="TableStyleMedium2" showFirstColumn="1" showLastColumn="0" showRowStripes="1" showColumnStripes="0"/>
</table>
</file>

<file path=xl/tables/table1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4" xr:uid="{F6DA5B63-4EE1-5948-A594-826E97431183}" name="Table_H2.2.a_Share_of_females_in_households_using_safely_managed_sanitation_services_Percentage_disaggregation_a" displayName="Table_H2.2.a_Share_of_females_in_households_using_safely_managed_sanitation_services_Percentage_disaggregation_a" ref="A21:E37" totalsRowShown="0" headerRowDxfId="1151" dataDxfId="1150">
  <autoFilter ref="A21:E37" xr:uid="{F6DA5B63-4EE1-5948-A594-826E97431183}"/>
  <tableColumns count="5">
    <tableColumn id="1" xr3:uid="{3E5A8A34-0662-1B40-9CCD-7AB8431704E2}" name="Region" dataDxfId="1149"/>
    <tableColumn id="2" xr3:uid="{F5CB4F7A-0936-1B4D-ACE7-95F3CCFBB35F}" name="No difficulty" dataDxfId="1148"/>
    <tableColumn id="3" xr3:uid="{D1C4553C-C828-EC4B-AFEF-41A66BBDB69A}" name="Any difficulty" dataDxfId="1147"/>
    <tableColumn id="4" xr3:uid="{0FB39E9F-5085-2A43-9D06-91D613307B89}" name="Difference" dataDxfId="1146"/>
    <tableColumn id="5" xr3:uid="{6F55545F-1694-814A-A21C-4E86AE6F02D4}" name="Statistical Significance of the Difference" dataDxfId="1145"/>
  </tableColumns>
  <tableStyleInfo name="TableStyleMedium2" showFirstColumn="1" showLastColumn="0" showRowStripes="1" showColumnStripes="0"/>
</table>
</file>

<file path=xl/tables/table1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5" xr:uid="{133A3681-275F-7547-B9F8-079E10BEEFE8}" name="Table_H2.2.b_Share_of_females_in_households_using_safely_managed_sanitation_services_Percentage_disaggregation_b" displayName="Table_H2.2.b_Share_of_females_in_households_using_safely_managed_sanitation_services_Percentage_disaggregation_b" ref="G21:N37" totalsRowShown="0" headerRowDxfId="1144" dataDxfId="1143">
  <autoFilter ref="G21:N37" xr:uid="{133A3681-275F-7547-B9F8-079E10BEEFE8}"/>
  <tableColumns count="8">
    <tableColumn id="1" xr3:uid="{A8CD8605-21D3-5F4D-A0F3-A68AAC6989FE}" name="Region" dataDxfId="1142"/>
    <tableColumn id="2" xr3:uid="{7FB17572-AA0C-A743-A0D3-3C4B5E578F79}" name="No difficulty" dataDxfId="1141"/>
    <tableColumn id="3" xr3:uid="{BE3F63B0-4D9B-A64A-A76B-7A469C84A6E0}" name="Some difficulty" dataDxfId="1140"/>
    <tableColumn id="4" xr3:uid="{97605625-B4ED-714C-A37C-B4659C7DB5C6}" name="Difference" dataDxfId="1139"/>
    <tableColumn id="5" xr3:uid="{2CB14541-5669-6F41-A2EC-44590694D137}" name="Statistical Significance of the Difference" dataDxfId="1138"/>
    <tableColumn id="6" xr3:uid="{5350BDFB-85F9-394D-9113-E3EA157D73F6}" name="At least a lot of difficulty" dataDxfId="1137"/>
    <tableColumn id="7" xr3:uid="{AB660891-5787-0440-B20C-643F2F61906E}" name="Difference No difficulty &amp; At least a lot of difficulty" dataDxfId="1136"/>
    <tableColumn id="8" xr3:uid="{F75F03BD-F9F8-3D4C-9CC6-81C4E8B03591}" name="Statistical Significance of the Difference (No difficulty vs At least a lot)" dataDxfId="1135"/>
  </tableColumns>
  <tableStyleInfo name="TableStyleMedium2" showFirstColumn="1" showLastColumn="0" showRowStripes="1" showColumnStripes="0"/>
</table>
</file>

<file path=xl/tables/table1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6" xr:uid="{DF08C328-A3E9-5B44-958B-C4AC46DD73A1}" name="Table_H2.2.c_Share_of_females_in_households_using_safely_managed_sanitation_services_Percentage_disaggregation_c" displayName="Table_H2.2.c_Share_of_females_in_households_using_safely_managed_sanitation_services_Percentage_disaggregation_c" ref="P21:T37" totalsRowShown="0" headerRowDxfId="1134" dataDxfId="1133">
  <autoFilter ref="P21:T37" xr:uid="{DF08C328-A3E9-5B44-958B-C4AC46DD73A1}"/>
  <tableColumns count="5">
    <tableColumn id="1" xr3:uid="{898DB18B-3AAF-B146-90CD-BBB4E7F38A81}" name="Region" dataDxfId="1132"/>
    <tableColumn id="2" xr3:uid="{ADADF418-A318-7C46-8AE0-14A6C8A7FF7B}" name="No or some difficulty" dataDxfId="1131"/>
    <tableColumn id="3" xr3:uid="{73096FAF-960E-8040-94D2-E88DAAA23498}" name="At least a lot of difficulty" dataDxfId="1130"/>
    <tableColumn id="4" xr3:uid="{5A847938-9435-CB40-B13C-C2DB221E8FC5}" name="Difference" dataDxfId="1129"/>
    <tableColumn id="5" xr3:uid="{2F28F1DE-CEFF-5E48-9C8E-065D319E0036}" name="Statistical Significance of the Difference" dataDxfId="1128"/>
  </tableColumns>
  <tableStyleInfo name="TableStyleMedium2" showFirstColumn="1" showLastColumn="0" showRowStripes="1" showColumnStripes="0"/>
</table>
</file>

<file path=xl/tables/table1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7" xr:uid="{706FA796-5ABB-3E4F-AC77-228A71D93F12}" name="Table_H2.3.a_Share_of_males_in_households_using_safely_managed_sanitation_services_Percentage_disaggregation_a" displayName="Table_H2.3.a_Share_of_males_in_households_using_safely_managed_sanitation_services_Percentage_disaggregation_a" ref="A40:E56" totalsRowShown="0" headerRowDxfId="1127" dataDxfId="1126">
  <autoFilter ref="A40:E56" xr:uid="{706FA796-5ABB-3E4F-AC77-228A71D93F12}"/>
  <tableColumns count="5">
    <tableColumn id="1" xr3:uid="{0DBD3FD5-1B18-BB46-8720-33162DAAC490}" name="Region" dataDxfId="1125"/>
    <tableColumn id="2" xr3:uid="{E5FD7B73-5A53-5A4D-8D59-BE6F158911A2}" name="No difficulty" dataDxfId="1124"/>
    <tableColumn id="3" xr3:uid="{6BF9D781-ACA9-BC48-86B0-8E79112BE67C}" name="Any difficulty" dataDxfId="1123"/>
    <tableColumn id="4" xr3:uid="{5524D647-71FD-9749-A83D-05A2DCA93C2B}" name="Difference" dataDxfId="1122"/>
    <tableColumn id="5" xr3:uid="{E71317A7-5C8A-E940-8257-2E62607A6408}" name="Statistical Significance of the Difference" dataDxfId="1121"/>
  </tableColumns>
  <tableStyleInfo name="TableStyleMedium2" showFirstColumn="1" showLastColumn="0" showRowStripes="1" showColumnStripes="0"/>
</table>
</file>

<file path=xl/tables/table1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8" xr:uid="{792B917F-CA57-7246-BC27-DD108DC7E79E}" name="Table_H2.3.b_Share_of_males_in_households_using_safely_managed_sanitation_services_Percentage_disaggregation_b" displayName="Table_H2.3.b_Share_of_males_in_households_using_safely_managed_sanitation_services_Percentage_disaggregation_b" ref="G40:N56" totalsRowShown="0" headerRowDxfId="1120" dataDxfId="1119">
  <autoFilter ref="G40:N56" xr:uid="{792B917F-CA57-7246-BC27-DD108DC7E79E}"/>
  <tableColumns count="8">
    <tableColumn id="1" xr3:uid="{A3ADB90A-C920-0E4E-9B11-1FDA777BBF88}" name="Region" dataDxfId="1118"/>
    <tableColumn id="2" xr3:uid="{54D0A484-91E3-3F4F-8A22-9221B8463AED}" name="No difficulty" dataDxfId="1117"/>
    <tableColumn id="3" xr3:uid="{6C140AEC-BFB0-164A-B56F-AAFB42F72D76}" name="Some difficulty" dataDxfId="1116"/>
    <tableColumn id="4" xr3:uid="{4FC912EC-09A1-F740-98D1-C09A1017037B}" name="Difference" dataDxfId="1115"/>
    <tableColumn id="5" xr3:uid="{C9477E93-1531-2A40-9043-107F2E4C2E17}" name="Statistical Significance of the Difference" dataDxfId="1114"/>
    <tableColumn id="6" xr3:uid="{C81CCB0E-6D51-F742-813A-5E80E7E38E6E}" name="At least a lot of difficulty" dataDxfId="1113"/>
    <tableColumn id="7" xr3:uid="{F3F6AB80-08F7-4D4F-BA6D-34D0947A5A50}" name="Difference No difficulty &amp; At least a lot of difficulty" dataDxfId="1112"/>
    <tableColumn id="8" xr3:uid="{E178EAF2-AFF4-8444-A9CE-7DF78E73D513}" name="Statistical Significance of the Difference (No difficulty vs At least a lot)" dataDxfId="1111"/>
  </tableColumns>
  <tableStyleInfo name="TableStyleMedium2" showFirstColumn="1"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EC3CF4A2-2461-9644-AB9A-51D40BE350C0}" name="Table_P3.3_Share_of_urban_households_with_functional_difficulties_Percentage" displayName="Table_P3.3_Share_of_urban_households_with_functional_difficulties_Percentage" ref="A40:D56" totalsRowShown="0" headerRowDxfId="2141" dataDxfId="2140">
  <autoFilter ref="A40:D56" xr:uid="{EC3CF4A2-2461-9644-AB9A-51D40BE350C0}"/>
  <tableColumns count="4">
    <tableColumn id="1" xr3:uid="{B6AB0984-1A8A-A94E-A82D-A4489594664D}" name="Region" dataDxfId="2139"/>
    <tableColumn id="2" xr3:uid="{DFF20E07-EBD1-B342-A00A-4A326C6293CD}" name="Any difficulty" dataDxfId="2138"/>
    <tableColumn id="3" xr3:uid="{57E67806-2ED5-F04E-99C3-7C4E20DC223A}" name="Some difficulty" dataDxfId="2137"/>
    <tableColumn id="4" xr3:uid="{E0D5326B-5877-F14E-8D04-B619C59B015A}" name="At least a lot of difficulty" dataDxfId="2136"/>
  </tableColumns>
  <tableStyleInfo name="TableStyleMedium2" showFirstColumn="1" showLastColumn="0" showRowStripes="1" showColumnStripes="0"/>
</table>
</file>

<file path=xl/tables/table1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9" xr:uid="{9CDDC962-9B7F-F248-AAB7-51EB6282D44D}" name="Table_H2.3.c_Share_of_males_in_households_using_safely_managed_sanitation_services_Percentage_disaggregation_c" displayName="Table_H2.3.c_Share_of_males_in_households_using_safely_managed_sanitation_services_Percentage_disaggregation_c" ref="P40:T56" totalsRowShown="0" headerRowDxfId="1110" dataDxfId="1109">
  <autoFilter ref="P40:T56" xr:uid="{9CDDC962-9B7F-F248-AAB7-51EB6282D44D}"/>
  <tableColumns count="5">
    <tableColumn id="1" xr3:uid="{E384D038-30DF-5D44-8007-0587BCBF3336}" name="Region" dataDxfId="1108"/>
    <tableColumn id="2" xr3:uid="{D8E849BF-5889-6449-93C5-C9DD950F37BE}" name="No or some difficulty" dataDxfId="1107"/>
    <tableColumn id="3" xr3:uid="{8FE81E8C-7930-9B4D-B858-DD33F35658CC}" name="At least a lot of difficulty" dataDxfId="1106"/>
    <tableColumn id="4" xr3:uid="{1DE6A982-3658-4E42-B7E8-613BFEB5067E}" name="Difference" dataDxfId="1105"/>
    <tableColumn id="5" xr3:uid="{7FDFAD57-2DD8-1D4D-8A0E-01A83EF66DB5}" name="Statistical Significance of the Difference" dataDxfId="1104"/>
  </tableColumns>
  <tableStyleInfo name="TableStyleMedium2" showFirstColumn="1" showLastColumn="0" showRowStripes="1" showColumnStripes="0"/>
</table>
</file>

<file path=xl/tables/table1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0" xr:uid="{5E2D0D64-4D82-0F46-9E73-F80BF95330E8}" name="Table_H2.4.a_Share_of_rural_residents_in_households_using_safely_managed_sanitation_services_Percentage_disaggregation_a" displayName="Table_H2.4.a_Share_of_rural_residents_in_households_using_safely_managed_sanitation_services_Percentage_disaggregation_a" ref="A59:E75" totalsRowShown="0" headerRowDxfId="1103" dataDxfId="1102">
  <autoFilter ref="A59:E75" xr:uid="{5E2D0D64-4D82-0F46-9E73-F80BF95330E8}"/>
  <tableColumns count="5">
    <tableColumn id="1" xr3:uid="{0A9C4067-52C5-6A44-8611-4F9141291347}" name="Region" dataDxfId="1101"/>
    <tableColumn id="2" xr3:uid="{B778768E-5F62-344B-8FF3-F1DF720D6AEA}" name="No difficulty" dataDxfId="1100"/>
    <tableColumn id="3" xr3:uid="{F91799C0-B892-744E-A224-8928DBFE728F}" name="Any difficulty" dataDxfId="1099"/>
    <tableColumn id="4" xr3:uid="{6956B1BE-EEA8-C540-86BF-8D93041A28A0}" name="Difference" dataDxfId="1098"/>
    <tableColumn id="5" xr3:uid="{21787DB9-D1DB-7E47-AF89-9F3F8EB7B45E}" name="Statistical Significance of the Difference" dataDxfId="1097"/>
  </tableColumns>
  <tableStyleInfo name="TableStyleMedium2" showFirstColumn="1" showLastColumn="0" showRowStripes="1" showColumnStripes="0"/>
</table>
</file>

<file path=xl/tables/table1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1" xr:uid="{5D863D78-555C-AB4F-8D23-3459A4D4A223}" name="Table_H2.4.b_Share_of_rural_residents_in_households_using_safely_managed_sanitation_services_Percentage_disaggregation_b" displayName="Table_H2.4.b_Share_of_rural_residents_in_households_using_safely_managed_sanitation_services_Percentage_disaggregation_b" ref="G59:N75" totalsRowShown="0" headerRowDxfId="1096" dataDxfId="1095">
  <autoFilter ref="G59:N75" xr:uid="{5D863D78-555C-AB4F-8D23-3459A4D4A223}"/>
  <tableColumns count="8">
    <tableColumn id="1" xr3:uid="{16407BB0-055B-334F-B895-3FA70547178C}" name="Region" dataDxfId="1094"/>
    <tableColumn id="2" xr3:uid="{B0029C26-3E26-F84E-9864-7DE67A5B1F5C}" name="No difficulty" dataDxfId="1093"/>
    <tableColumn id="3" xr3:uid="{725BBDBE-8C79-354E-AEE2-BE64741923AD}" name="Some difficulty" dataDxfId="1092"/>
    <tableColumn id="4" xr3:uid="{F9A181E6-5DF0-2046-821F-D8B37410F4C0}" name="Difference" dataDxfId="1091"/>
    <tableColumn id="5" xr3:uid="{EB861500-137A-C841-A468-67B0CF49A021}" name="Statistical Significance of the Difference" dataDxfId="1090"/>
    <tableColumn id="6" xr3:uid="{899AFCE5-6722-BE42-94EA-921161863DD8}" name="At least a lot of difficulty" dataDxfId="1089"/>
    <tableColumn id="7" xr3:uid="{117D5794-CF01-144F-A388-86BD6B424602}" name="Difference No difficulty &amp; At least a lot of difficulty" dataDxfId="1088"/>
    <tableColumn id="8" xr3:uid="{8E8F92E3-BABD-7648-95A8-B3A0E2D56F72}" name="Statistical Significance of the Difference (No difficulty vs At least a lot)" dataDxfId="1087"/>
  </tableColumns>
  <tableStyleInfo name="TableStyleMedium2" showFirstColumn="1" showLastColumn="0" showRowStripes="1" showColumnStripes="0"/>
</table>
</file>

<file path=xl/tables/table1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2" xr:uid="{0D95EA11-37EF-1C4C-93C4-7096CC02FF24}" name="Table_H2.4.c_Share_of_rural_residents_in_households_using_safely_managed_sanitation_services_Percentage_disaggregation_c" displayName="Table_H2.4.c_Share_of_rural_residents_in_households_using_safely_managed_sanitation_services_Percentage_disaggregation_c" ref="P59:T75" totalsRowShown="0" headerRowDxfId="1086" dataDxfId="1085">
  <autoFilter ref="P59:T75" xr:uid="{0D95EA11-37EF-1C4C-93C4-7096CC02FF24}"/>
  <tableColumns count="5">
    <tableColumn id="1" xr3:uid="{2F5FFCDD-E256-2241-A5F8-AE1123878855}" name="Region" dataDxfId="1084"/>
    <tableColumn id="2" xr3:uid="{D76570C6-6830-734A-A2BD-DA2284A5E876}" name="No or some difficulty" dataDxfId="1083"/>
    <tableColumn id="3" xr3:uid="{3F237685-5733-DF41-8DA6-67E5DF3126FE}" name="At least a lot of difficulty" dataDxfId="1082"/>
    <tableColumn id="4" xr3:uid="{6003C9B3-E882-8043-9207-225ECA7D1783}" name="Difference" dataDxfId="1081"/>
    <tableColumn id="5" xr3:uid="{D0F9A19C-CDFA-0E47-BB43-9E5C40E397F9}" name="Statistical Significance of the Difference" dataDxfId="1080"/>
  </tableColumns>
  <tableStyleInfo name="TableStyleMedium2" showFirstColumn="1" showLastColumn="0" showRowStripes="1" showColumnStripes="0"/>
</table>
</file>

<file path=xl/tables/table1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3" xr:uid="{7405B10B-67A2-904C-8CF0-CE4B423F3C4A}" name="Table_H2.5.a_Share_of_urban_residents_in_households_using_safely_managed_sanitation_services_Percentage_disaggregation_a" displayName="Table_H2.5.a_Share_of_urban_residents_in_households_using_safely_managed_sanitation_services_Percentage_disaggregation_a" ref="A78:E94" totalsRowShown="0" headerRowDxfId="1079" dataDxfId="1078">
  <autoFilter ref="A78:E94" xr:uid="{7405B10B-67A2-904C-8CF0-CE4B423F3C4A}"/>
  <tableColumns count="5">
    <tableColumn id="1" xr3:uid="{10D9FBBF-A6AC-2441-AE56-FA4A1ACC293E}" name="Region" dataDxfId="1077"/>
    <tableColumn id="2" xr3:uid="{67E35CE6-A126-BB4D-A27A-608A607A0B40}" name="No difficulty" dataDxfId="1076"/>
    <tableColumn id="3" xr3:uid="{F4881788-589D-1948-8106-1F5FA8DD4897}" name="Any difficulty" dataDxfId="1075"/>
    <tableColumn id="4" xr3:uid="{B837C84E-0C86-934B-8F58-6EBAA75DF8D3}" name="Difference" dataDxfId="1074"/>
    <tableColumn id="5" xr3:uid="{BCDF4E85-EE64-AE4F-ACC3-E9A5D33E32DD}" name="Statistical Significance of the Difference" dataDxfId="1073"/>
  </tableColumns>
  <tableStyleInfo name="TableStyleMedium2" showFirstColumn="1" showLastColumn="0" showRowStripes="1" showColumnStripes="0"/>
</table>
</file>

<file path=xl/tables/table1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4" xr:uid="{C4E67130-E035-C444-8485-7A935A4DDB12}" name="Table_H2.5.b_Share_of_urban_residents_in_households_using_safely_managed_sanitation_services_Percentage_disaggregation_b" displayName="Table_H2.5.b_Share_of_urban_residents_in_households_using_safely_managed_sanitation_services_Percentage_disaggregation_b" ref="G78:N94" totalsRowShown="0" headerRowDxfId="1072" dataDxfId="1071">
  <autoFilter ref="G78:N94" xr:uid="{C4E67130-E035-C444-8485-7A935A4DDB12}"/>
  <tableColumns count="8">
    <tableColumn id="1" xr3:uid="{354DBDA4-049D-CB4D-80EF-DA32BD1C3B5B}" name="Region" dataDxfId="1070"/>
    <tableColumn id="2" xr3:uid="{8DDF58A6-966B-F64D-B1BA-621F6099A2C7}" name="No difficulty" dataDxfId="1069"/>
    <tableColumn id="3" xr3:uid="{3E2E53A9-B5DE-C749-B6BB-428EEFD30750}" name="Some difficulty" dataDxfId="1068"/>
    <tableColumn id="4" xr3:uid="{D254548C-C321-F046-93FD-922D36D30F1F}" name="Difference" dataDxfId="1067"/>
    <tableColumn id="5" xr3:uid="{4407B87F-75FF-8749-B543-7736C4A98410}" name="Statistical Significance of the Difference" dataDxfId="1066"/>
    <tableColumn id="6" xr3:uid="{ECCEBD0F-0431-5A4F-90A5-6C0944F084EA}" name="At least a lot of difficulty" dataDxfId="1065"/>
    <tableColumn id="7" xr3:uid="{8342FBAB-170E-CB41-A59E-1C286C7F6BF8}" name="Difference No difficulty &amp; At least a lot of difficulty" dataDxfId="1064"/>
    <tableColumn id="8" xr3:uid="{B053D686-CA44-744F-9312-E2C6C256FEC5}" name="Statistical Significance of the Difference (No difficulty vs At least a lot)" dataDxfId="1063"/>
  </tableColumns>
  <tableStyleInfo name="TableStyleMedium2" showFirstColumn="1" showLastColumn="0" showRowStripes="1" showColumnStripes="0"/>
</table>
</file>

<file path=xl/tables/table1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5" xr:uid="{A1CDE19D-3299-BD4D-97E2-4605C5524FC5}" name="Table_H2.5.c_Share_of_urban_residents_in_households_using_safely_managed_sanitation_services_Percentage_disaggregation_c" displayName="Table_H2.5.c_Share_of_urban_residents_in_households_using_safely_managed_sanitation_services_Percentage_disaggregation_c" ref="P78:T94" totalsRowShown="0" headerRowDxfId="1062" dataDxfId="1061">
  <autoFilter ref="P78:T94" xr:uid="{A1CDE19D-3299-BD4D-97E2-4605C5524FC5}"/>
  <tableColumns count="5">
    <tableColumn id="1" xr3:uid="{F62DD244-6345-8B4F-B63E-0717200614D9}" name="Region" dataDxfId="1060"/>
    <tableColumn id="2" xr3:uid="{45B58B73-F5FC-ED44-9358-467A7D7101B3}" name="No or some difficulty" dataDxfId="1059"/>
    <tableColumn id="3" xr3:uid="{37137F3B-FD45-2147-8F8B-035A9C2EFB89}" name="At least a lot of difficulty" dataDxfId="1058"/>
    <tableColumn id="4" xr3:uid="{2BA3FAFE-24C7-7F43-926A-3C99E50573ED}" name="Difference" dataDxfId="1057"/>
    <tableColumn id="5" xr3:uid="{F6C29641-D4A6-2141-9983-08C3915F957C}" name="Statistical Significance of the Difference" dataDxfId="1056"/>
  </tableColumns>
  <tableStyleInfo name="TableStyleMedium2" showFirstColumn="1" showLastColumn="0" showRowStripes="1" showColumnStripes="0"/>
</table>
</file>

<file path=xl/tables/table1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6" xr:uid="{247C515B-9DF5-064E-85B0-ADAFB4AA2AC8}" name="Table_H2.6.a_Share_of_adults_age_15_to_44_in_households_using_safely_managed_sanitation_services_Percentage_disaggregation_a" displayName="Table_H2.6.a_Share_of_adults_age_15_to_44_in_households_using_safely_managed_sanitation_services_Percentage_disaggregation_a" ref="A97:E113" totalsRowShown="0" headerRowDxfId="1055" dataDxfId="1054">
  <autoFilter ref="A97:E113" xr:uid="{247C515B-9DF5-064E-85B0-ADAFB4AA2AC8}"/>
  <tableColumns count="5">
    <tableColumn id="1" xr3:uid="{91D32345-CBA3-3F42-9DD3-F78127F720E2}" name="Region" dataDxfId="1053"/>
    <tableColumn id="2" xr3:uid="{C0BD2115-F492-A14E-BE29-1BD421449253}" name="No difficulty" dataDxfId="1052"/>
    <tableColumn id="3" xr3:uid="{5A02B3EB-52EB-3A41-B8CF-5B99FF795244}" name="Any difficulty" dataDxfId="1051"/>
    <tableColumn id="4" xr3:uid="{30DE57CB-A4E8-4C4D-AAD4-BACAED7792FA}" name="Difference" dataDxfId="1050"/>
    <tableColumn id="5" xr3:uid="{BB42FF8C-FFEA-E048-AFAD-70E266F7C1F0}" name="Statistical Significance of the Difference" dataDxfId="1049"/>
  </tableColumns>
  <tableStyleInfo name="TableStyleMedium2" showFirstColumn="1" showLastColumn="0" showRowStripes="1" showColumnStripes="0"/>
</table>
</file>

<file path=xl/tables/table1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7" xr:uid="{03CA6217-B2AB-5E44-9BE7-639FE7725D0D}" name="Table_H2.6.b_Share_of_adults_age_15_to_44_in_households_using_safely_managed_sanitation_services_Percentage_disaggregation_b" displayName="Table_H2.6.b_Share_of_adults_age_15_to_44_in_households_using_safely_managed_sanitation_services_Percentage_disaggregation_b" ref="G97:N113" totalsRowShown="0" headerRowDxfId="1048" dataDxfId="1047">
  <autoFilter ref="G97:N113" xr:uid="{03CA6217-B2AB-5E44-9BE7-639FE7725D0D}"/>
  <tableColumns count="8">
    <tableColumn id="1" xr3:uid="{00579EB4-F94A-7E4A-A721-25203F8690C4}" name="Region" dataDxfId="1046"/>
    <tableColumn id="2" xr3:uid="{18900433-E6F5-C44E-AE4D-9012D8F84980}" name="No difficulty" dataDxfId="1045"/>
    <tableColumn id="3" xr3:uid="{FE07FB4A-BFB9-214B-854E-A5111F09DB93}" name="Some difficulty" dataDxfId="1044"/>
    <tableColumn id="4" xr3:uid="{3A5B07CC-6473-BF42-8251-9C7DEE0B0A31}" name="Difference" dataDxfId="1043"/>
    <tableColumn id="5" xr3:uid="{25B3E809-E797-0B42-AF22-934FCF1D4A0C}" name="Statistical Significance of the Difference" dataDxfId="1042"/>
    <tableColumn id="6" xr3:uid="{F129D449-9296-8E4C-8F86-F95208C72496}" name="At least a lot of difficulty" dataDxfId="1041"/>
    <tableColumn id="7" xr3:uid="{B5B02C55-203F-DA4C-9BBB-8025EDEBB357}" name="Difference No difficulty &amp; At least a lot of difficulty" dataDxfId="1040"/>
    <tableColumn id="8" xr3:uid="{01303571-A794-7346-A6FA-B65196754BCA}" name="Statistical Significance of the Difference (No difficulty vs At least a lot)" dataDxfId="1039"/>
  </tableColumns>
  <tableStyleInfo name="TableStyleMedium2" showFirstColumn="1" showLastColumn="0" showRowStripes="1" showColumnStripes="0"/>
</table>
</file>

<file path=xl/tables/table1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8" xr:uid="{CD4A6A30-A97A-124E-9119-A3005781CA06}" name="Table_H2.6.c_Share_of_adults_age_15_to_44_in_households_using_safely_managed_sanitation_services_Percentage_disaggregation_c" displayName="Table_H2.6.c_Share_of_adults_age_15_to_44_in_households_using_safely_managed_sanitation_services_Percentage_disaggregation_c" ref="P97:T113" totalsRowShown="0" headerRowDxfId="1038" dataDxfId="1037">
  <autoFilter ref="P97:T113" xr:uid="{CD4A6A30-A97A-124E-9119-A3005781CA06}"/>
  <tableColumns count="5">
    <tableColumn id="1" xr3:uid="{3F0EF904-FDAC-5346-90F1-8E638E98001D}" name="Region" dataDxfId="1036"/>
    <tableColumn id="2" xr3:uid="{E0E52364-9A07-2E4D-BA58-07A21934BC6F}" name="No or some difficulty" dataDxfId="1035"/>
    <tableColumn id="3" xr3:uid="{6AAB14F4-7286-D949-8FC3-FC39746E6214}" name="At least a lot of difficulty" dataDxfId="1034"/>
    <tableColumn id="4" xr3:uid="{1AAABD27-D393-7540-B241-C036934DE51D}" name="Difference" dataDxfId="1033"/>
    <tableColumn id="5" xr3:uid="{853BBBAD-24EB-AE49-B0F1-077EA653D715}" name="Statistical Significance of the Difference" dataDxfId="1032"/>
  </tableColumns>
  <tableStyleInfo name="TableStyleMedium2" showFirstColumn="1"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31155874-499D-564B-B1C5-5BC57BA2D3A3}" name="Table_E1_Share_of_all_adults_who_have_ever_attended_school_Percentage_by_functional_difficulty_type" displayName="Table_E1_Share_of_all_adults_who_have_ever_attended_school_Percentage_by_functional_difficulty_type" ref="A2:H18" totalsRowShown="0" headerRowDxfId="2135" dataDxfId="2134">
  <autoFilter ref="A2:H18" xr:uid="{31155874-499D-564B-B1C5-5BC57BA2D3A3}"/>
  <tableColumns count="8">
    <tableColumn id="1" xr3:uid="{90A086E4-EFAA-C248-8752-DE0433774F97}" name="Region" dataDxfId="2133"/>
    <tableColumn id="2" xr3:uid="{845733A3-38E5-B447-9597-5D03E45806EC}" name="No Difficulty" dataDxfId="2132"/>
    <tableColumn id="3" xr3:uid="{E1BCAB88-00A2-1141-BBC5-4B08975BD689}" name="Seeing" dataDxfId="2131"/>
    <tableColumn id="4" xr3:uid="{4A8D7A8D-4C69-2340-97D3-8AFC589BB428}" name="Hearing" dataDxfId="2130"/>
    <tableColumn id="5" xr3:uid="{4058AF19-FC7C-0844-950B-C9CED7F1D38E}" name="Mobility" dataDxfId="2129"/>
    <tableColumn id="6" xr3:uid="{AF045B22-6FF7-A64F-9487-F175E20B8D86}" name="Cognition" dataDxfId="2128"/>
    <tableColumn id="7" xr3:uid="{183C6D49-0863-CF44-8FAD-B0DEFCD825A0}" name="Self-Care" dataDxfId="2127"/>
    <tableColumn id="8" xr3:uid="{C41A599B-AD08-B348-BF27-EEF06DBB3BF9}" name="Communication" dataDxfId="2126"/>
  </tableColumns>
  <tableStyleInfo name="TableStyleMedium2" showFirstColumn="1" showLastColumn="0" showRowStripes="1" showColumnStripes="0"/>
</table>
</file>

<file path=xl/tables/table1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9" xr:uid="{6BBDB4C8-FBDB-5747-9224-627D7FF03F05}" name="Table_H2.7.a_Share_of_adults_age_45_and_older_in_households_using_safely_managed_sanitation_services_Percentage_disaggregation_a" displayName="Table_H2.7.a_Share_of_adults_age_45_and_older_in_households_using_safely_managed_sanitation_services_Percentage_disaggregation_a" ref="A116:E132" totalsRowShown="0" headerRowDxfId="1031" dataDxfId="1030">
  <autoFilter ref="A116:E132" xr:uid="{6BBDB4C8-FBDB-5747-9224-627D7FF03F05}"/>
  <tableColumns count="5">
    <tableColumn id="1" xr3:uid="{6C5186A3-372A-D944-A737-92A7B82AF91A}" name="Region" dataDxfId="1029"/>
    <tableColumn id="2" xr3:uid="{313D1D73-1852-6946-A13A-EA2941DB1507}" name="No difficulty" dataDxfId="1028"/>
    <tableColumn id="3" xr3:uid="{16EEF15E-C22F-AA42-BF25-F2FAEE01EA04}" name="Any difficulty" dataDxfId="1027"/>
    <tableColumn id="4" xr3:uid="{73990839-93E7-934B-A932-4DAB7FA992BF}" name="Difference" dataDxfId="1026"/>
    <tableColumn id="5" xr3:uid="{A5B48593-7D50-554D-B046-7EC8539FB9D0}" name="Statistical Significance of the Difference" dataDxfId="1025"/>
  </tableColumns>
  <tableStyleInfo name="TableStyleMedium2" showFirstColumn="1" showLastColumn="0" showRowStripes="1" showColumnStripes="0"/>
</table>
</file>

<file path=xl/tables/table1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0" xr:uid="{9EF5B32D-EFBB-7947-A5C5-F0990569A8D9}" name="Table_H2.7.b_Share_of_adults_age_45_and_older_in_households_using_safely_managed_sanitation_services_Percentage_disaggregation_b" displayName="Table_H2.7.b_Share_of_adults_age_45_and_older_in_households_using_safely_managed_sanitation_services_Percentage_disaggregation_b" ref="G116:N132" totalsRowShown="0" headerRowDxfId="1024" dataDxfId="1023">
  <autoFilter ref="G116:N132" xr:uid="{9EF5B32D-EFBB-7947-A5C5-F0990569A8D9}"/>
  <tableColumns count="8">
    <tableColumn id="1" xr3:uid="{6078473D-E49E-2648-99AE-2A6E7C4848FF}" name="Region" dataDxfId="1022"/>
    <tableColumn id="2" xr3:uid="{4CFB8FDB-6B1D-BF49-B650-CD91748078BA}" name="No difficulty" dataDxfId="1021"/>
    <tableColumn id="3" xr3:uid="{19305DAA-F046-8649-B082-82214901CF03}" name="Some difficulty" dataDxfId="1020"/>
    <tableColumn id="4" xr3:uid="{A6302E91-D6CE-7D4E-9CE0-70A24AA788A4}" name="Difference" dataDxfId="1019"/>
    <tableColumn id="5" xr3:uid="{4C23F7DD-4297-5A40-9A4A-6558BC6F4422}" name="Statistical Significance of the Difference" dataDxfId="1018"/>
    <tableColumn id="6" xr3:uid="{5D70E648-B3F1-7A46-B40F-F6A93ACE5201}" name="At least a lot of difficulty" dataDxfId="1017"/>
    <tableColumn id="7" xr3:uid="{5D7E3267-8D45-504C-A6FB-15E37584D217}" name="Difference No difficulty &amp; At least a lot of difficulty" dataDxfId="1016"/>
    <tableColumn id="8" xr3:uid="{ABC9A6EF-E782-954C-AC49-8BF5213434DE}" name="Statistical Significance of the Difference (No difficulty vs At least a lot)" dataDxfId="1015"/>
  </tableColumns>
  <tableStyleInfo name="TableStyleMedium2" showFirstColumn="1" showLastColumn="0" showRowStripes="1" showColumnStripes="0"/>
</table>
</file>

<file path=xl/tables/table1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1" xr:uid="{8A983258-3C59-E14C-A42B-19DEF3F01D9B}" name="Table_H2.7.c_Share_of_adults_age_45_and_older_in_households_using_safely_managed_sanitation_services_Percentage_disaggregation_c" displayName="Table_H2.7.c_Share_of_adults_age_45_and_older_in_households_using_safely_managed_sanitation_services_Percentage_disaggregation_c" ref="P116:T132" totalsRowShown="0" headerRowDxfId="1014" dataDxfId="1013">
  <autoFilter ref="P116:T132" xr:uid="{8A983258-3C59-E14C-A42B-19DEF3F01D9B}"/>
  <tableColumns count="5">
    <tableColumn id="1" xr3:uid="{DFB42F9B-FEC7-6E49-8DA7-1F3D5619B7E4}" name="Region" dataDxfId="1012"/>
    <tableColumn id="2" xr3:uid="{4C589DC8-6E18-B740-8C1C-2D0DD52DDD4D}" name="No or some difficulty" dataDxfId="1011"/>
    <tableColumn id="3" xr3:uid="{070142C8-26F7-9048-823D-9DDEAD90FAB9}" name="At least a lot of difficulty" dataDxfId="1010"/>
    <tableColumn id="4" xr3:uid="{788522DB-45EA-4C40-89D7-2E3DF9B27D13}" name="Difference" dataDxfId="1009"/>
    <tableColumn id="5" xr3:uid="{54F75F52-2BE3-314A-9F7C-8F8818592055}" name="Statistical Significance of the Difference" dataDxfId="1008"/>
  </tableColumns>
  <tableStyleInfo name="TableStyleMedium2" showFirstColumn="1" showLastColumn="0" showRowStripes="1" showColumnStripes="0"/>
</table>
</file>

<file path=xl/tables/table1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2" xr:uid="{0EF7F2ED-EB1A-FC42-B0C3-01848ACDC092}" name="Table_S1.1.a_Share_of_all_adults_in_households_with_electricity_Percentage_disaggregation_a" displayName="Table_S1.1.a_Share_of_all_adults_in_households_with_electricity_Percentage_disaggregation_a" ref="A2:E18" totalsRowShown="0" headerRowDxfId="1007" dataDxfId="1006">
  <autoFilter ref="A2:E18" xr:uid="{0EF7F2ED-EB1A-FC42-B0C3-01848ACDC092}"/>
  <tableColumns count="5">
    <tableColumn id="1" xr3:uid="{7A464F84-C5F2-F943-822D-AAC7855657E4}" name="Region" dataDxfId="1005"/>
    <tableColumn id="2" xr3:uid="{96D46BAE-EA63-CE44-887F-4B07746E0056}" name="No difficulty" dataDxfId="1004"/>
    <tableColumn id="3" xr3:uid="{79CE58D1-3E7B-2949-9768-5F1EE3D7B878}" name="Any difficulty" dataDxfId="1003"/>
    <tableColumn id="4" xr3:uid="{B3A6C6BF-43F4-DA49-86BA-E150670248A0}" name="Difference" dataDxfId="1002"/>
    <tableColumn id="5" xr3:uid="{05C3290D-E278-0F4D-8FFE-212A9823BAF4}" name="Statistical Significance of the Difference" dataDxfId="1001"/>
  </tableColumns>
  <tableStyleInfo name="TableStyleMedium2" showFirstColumn="1" showLastColumn="0" showRowStripes="1" showColumnStripes="0"/>
</table>
</file>

<file path=xl/tables/table1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3" xr:uid="{326DB649-E606-B442-B16A-D877BF4C5915}" name="Table_S1.1.b_Share_of_all_adults_in_households_with_electricity_Percentage_disaggregation_b" displayName="Table_S1.1.b_Share_of_all_adults_in_households_with_electricity_Percentage_disaggregation_b" ref="G2:N18" totalsRowShown="0" headerRowDxfId="1000" dataDxfId="999">
  <autoFilter ref="G2:N18" xr:uid="{326DB649-E606-B442-B16A-D877BF4C5915}"/>
  <tableColumns count="8">
    <tableColumn id="1" xr3:uid="{B84E6B46-EAEA-6B46-9EFD-0A3B7AE94B0B}" name="Region" dataDxfId="998"/>
    <tableColumn id="2" xr3:uid="{9F41898C-82E0-0340-8142-22098675330A}" name="No difficulty" dataDxfId="997"/>
    <tableColumn id="3" xr3:uid="{3E3E154C-AC7E-5640-83FA-5C87AB690B6B}" name="Some difficulty" dataDxfId="996"/>
    <tableColumn id="4" xr3:uid="{66E57545-EE88-454C-A17C-018531900328}" name="Difference" dataDxfId="995"/>
    <tableColumn id="5" xr3:uid="{579C044E-FF99-2440-86B4-67C14B083E17}" name="Statistical Significance of the Difference" dataDxfId="994"/>
    <tableColumn id="6" xr3:uid="{0E1A2749-1A63-684E-AC61-2483CD884F07}" name="At least a lot of difficulty" dataDxfId="993"/>
    <tableColumn id="7" xr3:uid="{F57BF91F-7059-1E4C-94C8-02B6C92CEF41}" name="Difference No difficulty &amp; At least a lot of difficulty" dataDxfId="992"/>
    <tableColumn id="8" xr3:uid="{538B6D4E-468F-B846-8716-044DA702DAF1}" name="Statistical Significance of the Difference (No difficulty vs At least a lot)" dataDxfId="991"/>
  </tableColumns>
  <tableStyleInfo name="TableStyleMedium2" showFirstColumn="1" showLastColumn="0" showRowStripes="1" showColumnStripes="0"/>
</table>
</file>

<file path=xl/tables/table1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4" xr:uid="{69251F5C-A103-A842-909F-7E8633C8D492}" name="Table_S1.1.c_Share_of_all_adults_in_households_with_electricity_Percentage_disaggregation_c" displayName="Table_S1.1.c_Share_of_all_adults_in_households_with_electricity_Percentage_disaggregation_c" ref="P2:T18" totalsRowShown="0" headerRowDxfId="990" dataDxfId="989">
  <autoFilter ref="P2:T18" xr:uid="{69251F5C-A103-A842-909F-7E8633C8D492}"/>
  <tableColumns count="5">
    <tableColumn id="1" xr3:uid="{F66D3ABD-70AA-2B47-B173-A14106F0C317}" name="Region" dataDxfId="988"/>
    <tableColumn id="2" xr3:uid="{43AE1DF1-6B3D-B04A-B0DF-E4A284BE8B14}" name="No or some difficulty" dataDxfId="987"/>
    <tableColumn id="3" xr3:uid="{E10ABFCC-FCA6-E448-8179-EB4E53004E47}" name="At least a lot of difficulty" dataDxfId="986"/>
    <tableColumn id="4" xr3:uid="{AC5C78D1-8FF4-574D-98AE-BF7E9C8F263D}" name="Difference" dataDxfId="985"/>
    <tableColumn id="5" xr3:uid="{95470727-801E-F24D-AC1F-10B9CC3C4272}" name="Statistical Significance of the Difference" dataDxfId="984"/>
  </tableColumns>
  <tableStyleInfo name="TableStyleMedium2" showFirstColumn="1" showLastColumn="0" showRowStripes="1" showColumnStripes="0"/>
</table>
</file>

<file path=xl/tables/table1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5" xr:uid="{A121D0DA-D7E1-1241-8BE2-229132B87C91}" name="Table_S1.2.a_Share_of_females_in_households_with_electricity_Percentage_disaggregation_a" displayName="Table_S1.2.a_Share_of_females_in_households_with_electricity_Percentage_disaggregation_a" ref="A21:E37" totalsRowShown="0" headerRowDxfId="983" dataDxfId="982">
  <autoFilter ref="A21:E37" xr:uid="{A121D0DA-D7E1-1241-8BE2-229132B87C91}"/>
  <tableColumns count="5">
    <tableColumn id="1" xr3:uid="{B035C3E8-1E0B-E447-88CE-B7CE3D3F983F}" name="Region" dataDxfId="981"/>
    <tableColumn id="2" xr3:uid="{826499B2-C826-D849-A649-77C974F2C206}" name="No difficulty" dataDxfId="980"/>
    <tableColumn id="3" xr3:uid="{1EBCDD6C-0601-7541-9059-7B652AF33910}" name="Any difficulty" dataDxfId="979"/>
    <tableColumn id="4" xr3:uid="{EEA18D4B-ED20-0E44-85D7-C1DB46ADD52D}" name="Difference" dataDxfId="978"/>
    <tableColumn id="5" xr3:uid="{480D2256-C204-224C-8447-7B70ADA563F5}" name="Statistical Significance of the Difference" dataDxfId="977"/>
  </tableColumns>
  <tableStyleInfo name="TableStyleMedium2" showFirstColumn="1" showLastColumn="0" showRowStripes="1" showColumnStripes="0"/>
</table>
</file>

<file path=xl/tables/table1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6" xr:uid="{3E5D8EDD-9940-0C47-97BF-30C96863AFD6}" name="Table_S1.2.b_Share_of_females_in_households_with_electricity_Percentage_disaggregation_b" displayName="Table_S1.2.b_Share_of_females_in_households_with_electricity_Percentage_disaggregation_b" ref="G21:N37" totalsRowShown="0" headerRowDxfId="976" dataDxfId="975">
  <autoFilter ref="G21:N37" xr:uid="{3E5D8EDD-9940-0C47-97BF-30C96863AFD6}"/>
  <tableColumns count="8">
    <tableColumn id="1" xr3:uid="{523A3170-2129-0843-BDE3-D406443283E1}" name="Region" dataDxfId="974"/>
    <tableColumn id="2" xr3:uid="{86B207BF-BC95-CF4F-B564-E57BF95E4E25}" name="No difficulty" dataDxfId="973"/>
    <tableColumn id="3" xr3:uid="{3F039A88-130A-874B-B524-3C7B6962EF11}" name="Some difficulty" dataDxfId="972"/>
    <tableColumn id="4" xr3:uid="{A2C8F3B3-2072-334D-B673-AE966204C53C}" name="Difference" dataDxfId="971"/>
    <tableColumn id="5" xr3:uid="{84F38E47-D7AF-C145-B21C-3CEE82598BF2}" name="Statistical Significance of the Difference" dataDxfId="970"/>
    <tableColumn id="6" xr3:uid="{AEF2E592-7BCF-BF4A-91B3-707E9E9EAE4A}" name="At least a lot of difficulty" dataDxfId="969"/>
    <tableColumn id="7" xr3:uid="{72DF8242-15BE-F74C-91BB-F3DA4A558953}" name="Difference No difficulty &amp; At least a lot of difficulty" dataDxfId="968"/>
    <tableColumn id="8" xr3:uid="{C0D0131C-21A6-4E4A-9B7C-755E225AAADF}" name="Statistical Significance of the Difference (No difficulty vs At least a lot)" dataDxfId="967"/>
  </tableColumns>
  <tableStyleInfo name="TableStyleMedium2" showFirstColumn="1" showLastColumn="0" showRowStripes="1" showColumnStripes="0"/>
</table>
</file>

<file path=xl/tables/table1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7" xr:uid="{CDE3266B-884B-634D-A726-36780E148792}" name="Table_S1.2.c_Share_of_females_in_households_with_electricity_Percentage_disaggregation_c" displayName="Table_S1.2.c_Share_of_females_in_households_with_electricity_Percentage_disaggregation_c" ref="P21:T37" totalsRowShown="0" headerRowDxfId="966" dataDxfId="965">
  <autoFilter ref="P21:T37" xr:uid="{CDE3266B-884B-634D-A726-36780E148792}"/>
  <tableColumns count="5">
    <tableColumn id="1" xr3:uid="{38D5F2D5-970C-3C44-86B5-F17195568935}" name="Region" dataDxfId="964"/>
    <tableColumn id="2" xr3:uid="{FD8A0649-7525-A547-9DFA-3ED6643449DD}" name="No or some difficulty" dataDxfId="963"/>
    <tableColumn id="3" xr3:uid="{E42E4793-F326-234C-9EB9-B2BAFDF42B10}" name="At least a lot of difficulty" dataDxfId="962"/>
    <tableColumn id="4" xr3:uid="{0DC50E28-F20E-EA40-A12A-9E03D6FB7AC7}" name="Difference" dataDxfId="961"/>
    <tableColumn id="5" xr3:uid="{58DD0179-3B6A-8A4C-BD27-433FFE296BD9}" name="Statistical Significance of the Difference" dataDxfId="960"/>
  </tableColumns>
  <tableStyleInfo name="TableStyleMedium2" showFirstColumn="1" showLastColumn="0" showRowStripes="1" showColumnStripes="0"/>
</table>
</file>

<file path=xl/tables/table1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8" xr:uid="{D23FBE3F-CBE7-6F42-865D-039A2D279F2A}" name="Table_S1.3.a_Share_of_males_in_households_with_electricity_Percentage_disaggregation_a" displayName="Table_S1.3.a_Share_of_males_in_households_with_electricity_Percentage_disaggregation_a" ref="A40:E56" totalsRowShown="0" headerRowDxfId="959" dataDxfId="958">
  <autoFilter ref="A40:E56" xr:uid="{D23FBE3F-CBE7-6F42-865D-039A2D279F2A}"/>
  <tableColumns count="5">
    <tableColumn id="1" xr3:uid="{2AEF07D2-3580-9F46-B3DE-C9143EA5BCBF}" name="Region" dataDxfId="957"/>
    <tableColumn id="2" xr3:uid="{B245C562-5624-874B-9A4B-9AD3E01BA075}" name="No difficulty" dataDxfId="956"/>
    <tableColumn id="3" xr3:uid="{2A0E7708-DB6B-AB4E-BA19-5889B34F2D0A}" name="Any difficulty" dataDxfId="955"/>
    <tableColumn id="4" xr3:uid="{2599D35C-D1FE-6340-907A-FC2F85364248}" name="Difference" dataDxfId="954"/>
    <tableColumn id="5" xr3:uid="{2D94EB63-6518-E64B-AF57-8BA0CB0ACF22}" name="Statistical Significance of the Difference" dataDxfId="953"/>
  </tableColumns>
  <tableStyleInfo name="TableStyleMedium2" showFirstColumn="1"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A29C0C85-23D3-7B4E-9A7D-467E6FC89D07}" name="Table_E2_Share_of_all_adults_who_have_less_than_primary_school_completion_Percentage_by_functional_difficulty_type" displayName="Table_E2_Share_of_all_adults_who_have_less_than_primary_school_completion_Percentage_by_functional_difficulty_type" ref="A21:H37" totalsRowShown="0" headerRowDxfId="2125" dataDxfId="2124">
  <autoFilter ref="A21:H37" xr:uid="{A29C0C85-23D3-7B4E-9A7D-467E6FC89D07}"/>
  <tableColumns count="8">
    <tableColumn id="1" xr3:uid="{03BE6B53-19FC-B942-BCE9-EB776B47FFA9}" name="Region" dataDxfId="2123"/>
    <tableColumn id="2" xr3:uid="{DCE247EE-C50E-8A4D-8EEF-E73887EDA1B4}" name="No Difficulty" dataDxfId="2122"/>
    <tableColumn id="3" xr3:uid="{9D4BC678-B057-AB4D-B99D-B5E0D0C64275}" name="Seeing" dataDxfId="2121"/>
    <tableColumn id="4" xr3:uid="{3A402176-75BB-BB4D-B4E4-9F95056EF719}" name="Hearing" dataDxfId="2120"/>
    <tableColumn id="5" xr3:uid="{1ECB46E1-9463-2D41-9B18-B25909CD3B88}" name="Mobility" dataDxfId="2119"/>
    <tableColumn id="6" xr3:uid="{4C023418-DB23-B24F-B7AA-B1A55790F862}" name="Cognition" dataDxfId="2118"/>
    <tableColumn id="7" xr3:uid="{5BE60821-5119-2E42-A51B-E9D9D7C42115}" name="Self-Care" dataDxfId="2117"/>
    <tableColumn id="8" xr3:uid="{6914C2B6-0675-B249-9B3B-EB757B216140}" name="Communication" dataDxfId="2116"/>
  </tableColumns>
  <tableStyleInfo name="TableStyleMedium2" showFirstColumn="1" showLastColumn="0" showRowStripes="1" showColumnStripes="0"/>
</table>
</file>

<file path=xl/tables/table1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9" xr:uid="{AF23571B-992C-2D41-B856-30ED2E3CE0A7}" name="Table_S1.3.b_Share_of_males_in_households_with_electricity_Percentage_disaggregation_b" displayName="Table_S1.3.b_Share_of_males_in_households_with_electricity_Percentage_disaggregation_b" ref="G40:N56" totalsRowShown="0" headerRowDxfId="952" dataDxfId="951">
  <autoFilter ref="G40:N56" xr:uid="{AF23571B-992C-2D41-B856-30ED2E3CE0A7}"/>
  <tableColumns count="8">
    <tableColumn id="1" xr3:uid="{2DBAC0DF-7FFA-8E4C-806D-A34E3FF31B85}" name="Region" dataDxfId="950"/>
    <tableColumn id="2" xr3:uid="{EF6910A4-5D86-364B-B5FA-C2D716ADB3A9}" name="No difficulty" dataDxfId="949"/>
    <tableColumn id="3" xr3:uid="{94F824AF-38B1-984D-89EF-F802ED9C94DC}" name="Some difficulty" dataDxfId="948"/>
    <tableColumn id="4" xr3:uid="{EEC7E4F1-E6E0-7547-997B-08122E92D002}" name="Difference" dataDxfId="947"/>
    <tableColumn id="5" xr3:uid="{25F9ED55-19E5-7F4E-A580-64550152DC8B}" name="Statistical Significance of the Difference" dataDxfId="946"/>
    <tableColumn id="6" xr3:uid="{F9F0D8A7-8D70-8C4F-80D4-DE3F3BE69C6C}" name="At least a lot of difficulty" dataDxfId="945"/>
    <tableColumn id="7" xr3:uid="{0A3993D9-C395-4340-8139-6835FA0B0806}" name="Difference No difficulty &amp; At least a lot of difficulty" dataDxfId="944"/>
    <tableColumn id="8" xr3:uid="{24250F61-9130-184A-9EDE-4563F850930F}" name="Statistical Significance of the Difference (No difficulty vs At least a lot)" dataDxfId="943"/>
  </tableColumns>
  <tableStyleInfo name="TableStyleMedium2" showFirstColumn="1" showLastColumn="0" showRowStripes="1" showColumnStripes="0"/>
</table>
</file>

<file path=xl/tables/table1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0" xr:uid="{E6F56AA4-57B2-B44F-91B3-086E7A36FD69}" name="Table_S1.3.c_Share_of_males_in_households_with_electricity_Percentage_disaggregation_c" displayName="Table_S1.3.c_Share_of_males_in_households_with_electricity_Percentage_disaggregation_c" ref="P40:T56" totalsRowShown="0" headerRowDxfId="942" dataDxfId="941">
  <autoFilter ref="P40:T56" xr:uid="{E6F56AA4-57B2-B44F-91B3-086E7A36FD69}"/>
  <tableColumns count="5">
    <tableColumn id="1" xr3:uid="{8E505650-3FC9-4B48-972E-B0ABC8EAE2C8}" name="Region" dataDxfId="940"/>
    <tableColumn id="2" xr3:uid="{461F2C67-87EA-F845-A1DB-F70F0EFB7A4F}" name="No or some difficulty" dataDxfId="939"/>
    <tableColumn id="3" xr3:uid="{304BCA57-A8A5-7B4E-8AE1-FBFAED96CCC2}" name="At least a lot of difficulty" dataDxfId="938"/>
    <tableColumn id="4" xr3:uid="{2D34B254-DBD6-2143-A4C0-3DA115305E1D}" name="Difference" dataDxfId="937"/>
    <tableColumn id="5" xr3:uid="{DBF34C75-F191-924C-A165-48D5FECC4888}" name="Statistical Significance of the Difference" dataDxfId="936"/>
  </tableColumns>
  <tableStyleInfo name="TableStyleMedium2" showFirstColumn="1" showLastColumn="0" showRowStripes="1" showColumnStripes="0"/>
</table>
</file>

<file path=xl/tables/table16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1" xr:uid="{481F49C4-08C5-8348-A585-712AB1FACA98}" name="Table_S1.4.a_Share_of_rural_residents_in_households_with_electricity_Percentage_disaggregation_a" displayName="Table_S1.4.a_Share_of_rural_residents_in_households_with_electricity_Percentage_disaggregation_a" ref="A59:E75" totalsRowShown="0" headerRowDxfId="935" dataDxfId="934">
  <autoFilter ref="A59:E75" xr:uid="{481F49C4-08C5-8348-A585-712AB1FACA98}"/>
  <tableColumns count="5">
    <tableColumn id="1" xr3:uid="{2925895B-F88D-3F4F-B18F-C44540DF27C4}" name="Region" dataDxfId="933"/>
    <tableColumn id="2" xr3:uid="{63319119-DF20-B840-A554-1F7ECAD9398E}" name="No difficulty" dataDxfId="932"/>
    <tableColumn id="3" xr3:uid="{E8215115-BBBF-E64F-8141-36F4E1E4053F}" name="Any difficulty" dataDxfId="931"/>
    <tableColumn id="4" xr3:uid="{A55DA625-8CD0-1F41-9055-42464BDD06C3}" name="Difference" dataDxfId="930"/>
    <tableColumn id="5" xr3:uid="{32C521A3-9586-EE4F-9649-2D86977457EA}" name="Statistical Significance of the Difference" dataDxfId="929"/>
  </tableColumns>
  <tableStyleInfo name="TableStyleMedium2" showFirstColumn="1" showLastColumn="0" showRowStripes="1" showColumnStripes="0"/>
</table>
</file>

<file path=xl/tables/table16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2" xr:uid="{41DC5BAD-7D42-A747-8757-24079F30C7D2}" name="Table_S1.4.b_Share_of_rural_residents_in_households_with_electricity_Percentage_disaggregation_b" displayName="Table_S1.4.b_Share_of_rural_residents_in_households_with_electricity_Percentage_disaggregation_b" ref="G59:N75" totalsRowShown="0" headerRowDxfId="928" dataDxfId="927">
  <autoFilter ref="G59:N75" xr:uid="{41DC5BAD-7D42-A747-8757-24079F30C7D2}"/>
  <tableColumns count="8">
    <tableColumn id="1" xr3:uid="{84DE0BD3-E21C-034E-B652-B91393768779}" name="Region" dataDxfId="926"/>
    <tableColumn id="2" xr3:uid="{61D1DEB1-CA6C-D443-B532-7C3E6B068F2E}" name="No difficulty" dataDxfId="925"/>
    <tableColumn id="3" xr3:uid="{51FA5F9E-714C-BE48-B80A-512C7C73C45E}" name="Some difficulty" dataDxfId="924"/>
    <tableColumn id="4" xr3:uid="{50EBC8B8-AE20-534F-8FE1-2F2465A8C0F3}" name="Difference" dataDxfId="923"/>
    <tableColumn id="5" xr3:uid="{C459F4DA-5853-D046-8B19-151AA1B08AA5}" name="Statistical Significance of the Difference" dataDxfId="922"/>
    <tableColumn id="6" xr3:uid="{99A56FF1-5224-CA4A-BD1D-8044251E4F21}" name="At least a lot of difficulty" dataDxfId="921"/>
    <tableColumn id="7" xr3:uid="{842D0242-2434-1748-AF34-1BAAEEB4EC2F}" name="Difference No difficulty &amp; At least a lot of difficulty" dataDxfId="920"/>
    <tableColumn id="8" xr3:uid="{A771E5BC-B2C5-F24C-AA9E-56DFACBAAC24}" name="Statistical Significance of the Difference (No difficulty vs At least a lot)" dataDxfId="919"/>
  </tableColumns>
  <tableStyleInfo name="TableStyleMedium2" showFirstColumn="1" showLastColumn="0" showRowStripes="1" showColumnStripes="0"/>
</table>
</file>

<file path=xl/tables/table1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3" xr:uid="{028A4C0D-936B-8244-BEC8-0FFD3023F338}" name="Table_S1.4.c_Share_of_rural_residents_in_households_with_electricity_Percentage_disaggregation_c" displayName="Table_S1.4.c_Share_of_rural_residents_in_households_with_electricity_Percentage_disaggregation_c" ref="P59:T75" totalsRowShown="0" headerRowDxfId="918" dataDxfId="917">
  <autoFilter ref="P59:T75" xr:uid="{028A4C0D-936B-8244-BEC8-0FFD3023F338}"/>
  <tableColumns count="5">
    <tableColumn id="1" xr3:uid="{AEA09960-65D4-7E45-A415-BF0BB5EF4C08}" name="Region" dataDxfId="916"/>
    <tableColumn id="2" xr3:uid="{45FE3EAF-5D6A-A744-BEF7-676F25887FF2}" name="No or some difficulty" dataDxfId="915"/>
    <tableColumn id="3" xr3:uid="{2B05D5CF-1D08-9041-9E39-FE65CEFA2A3D}" name="At least a lot of difficulty" dataDxfId="914"/>
    <tableColumn id="4" xr3:uid="{9EB6CA99-A090-7340-A3F7-1E94036B21F4}" name="Difference" dataDxfId="913"/>
    <tableColumn id="5" xr3:uid="{81DCD2A8-BCB7-884A-B6F5-97916AF8FF36}" name="Statistical Significance of the Difference" dataDxfId="912"/>
  </tableColumns>
  <tableStyleInfo name="TableStyleMedium2" showFirstColumn="1" showLastColumn="0" showRowStripes="1" showColumnStripes="0"/>
</table>
</file>

<file path=xl/tables/table16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4" xr:uid="{243B5135-1DE1-6E41-9DB8-DFBF601FF365}" name="Table_S1.5.a_Share_of_urban_residents_in_households_with_electricity_Percentage_disaggregation_a" displayName="Table_S1.5.a_Share_of_urban_residents_in_households_with_electricity_Percentage_disaggregation_a" ref="A78:E94" totalsRowShown="0" headerRowDxfId="911" dataDxfId="910">
  <autoFilter ref="A78:E94" xr:uid="{243B5135-1DE1-6E41-9DB8-DFBF601FF365}"/>
  <tableColumns count="5">
    <tableColumn id="1" xr3:uid="{6027C1C4-F7C8-FE4B-A2A4-774A50E47DEE}" name="Region" dataDxfId="909"/>
    <tableColumn id="2" xr3:uid="{DE6808D6-7DD4-AA4D-A398-85A50F28DC5C}" name="No difficulty" dataDxfId="908"/>
    <tableColumn id="3" xr3:uid="{61DFA293-8457-804A-8A3E-CA17873DEBFC}" name="Any difficulty" dataDxfId="907"/>
    <tableColumn id="4" xr3:uid="{334CC108-FB08-F640-A07B-D2CA403495B9}" name="Difference" dataDxfId="906"/>
    <tableColumn id="5" xr3:uid="{B1584A5B-E654-3A40-B22C-7D9A6D89E302}" name="Statistical Significance of the Difference" dataDxfId="905"/>
  </tableColumns>
  <tableStyleInfo name="TableStyleMedium2" showFirstColumn="1" showLastColumn="0" showRowStripes="1" showColumnStripes="0"/>
</table>
</file>

<file path=xl/tables/table16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5" xr:uid="{82918B77-4599-4E48-87C9-3A6B82365880}" name="Table_S1.5.b_Share_of_urban_residents_in_households_with_electricity_Percentage_disaggregation_b" displayName="Table_S1.5.b_Share_of_urban_residents_in_households_with_electricity_Percentage_disaggregation_b" ref="G78:N94" totalsRowShown="0" headerRowDxfId="904" dataDxfId="903">
  <autoFilter ref="G78:N94" xr:uid="{82918B77-4599-4E48-87C9-3A6B82365880}"/>
  <tableColumns count="8">
    <tableColumn id="1" xr3:uid="{429C04EA-50BF-7D44-B80C-13193CA867A4}" name="Region" dataDxfId="902"/>
    <tableColumn id="2" xr3:uid="{AAA987FA-3ACA-0540-93DF-90B4DE069F7F}" name="No difficulty" dataDxfId="901"/>
    <tableColumn id="3" xr3:uid="{1D105487-241B-C643-AACD-7BFFEA75E7E6}" name="Some difficulty" dataDxfId="900"/>
    <tableColumn id="4" xr3:uid="{5DADFCDE-6ED8-B942-AB8E-4DE69201D9BA}" name="Difference" dataDxfId="899"/>
    <tableColumn id="5" xr3:uid="{B033C61E-6CC9-A147-8184-D7E9EACF889D}" name="Statistical Significance of the Difference" dataDxfId="898"/>
    <tableColumn id="6" xr3:uid="{266AA747-FD41-004A-A7FC-CF8D48AADDD9}" name="At least a lot of difficulty" dataDxfId="897"/>
    <tableColumn id="7" xr3:uid="{3E335801-D985-B346-A1FD-A3D911CA1C2D}" name="Difference No difficulty &amp; At least a lot of difficulty" dataDxfId="896"/>
    <tableColumn id="8" xr3:uid="{C7613F77-6541-644F-A396-C6F79EC0C256}" name="Statistical Significance of the Difference (No difficulty vs At least a lot)" dataDxfId="895"/>
  </tableColumns>
  <tableStyleInfo name="TableStyleMedium2" showFirstColumn="1" showLastColumn="0" showRowStripes="1" showColumnStripes="0"/>
</table>
</file>

<file path=xl/tables/table16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6" xr:uid="{405A1544-B809-B34E-A6FE-AF1AE2D27C17}" name="Table_S1.5.c_Share_of_urban_residents_in_households_with_electricity_Percentage_disaggregation_c" displayName="Table_S1.5.c_Share_of_urban_residents_in_households_with_electricity_Percentage_disaggregation_c" ref="P78:T94" totalsRowShown="0" headerRowDxfId="894" dataDxfId="893">
  <autoFilter ref="P78:T94" xr:uid="{405A1544-B809-B34E-A6FE-AF1AE2D27C17}"/>
  <tableColumns count="5">
    <tableColumn id="1" xr3:uid="{60D510A0-9341-A148-A4D9-6A860D2630E3}" name="Region" dataDxfId="892"/>
    <tableColumn id="2" xr3:uid="{A7514CE3-195C-944A-BA64-EC36D6181A15}" name="No or some difficulty" dataDxfId="891"/>
    <tableColumn id="3" xr3:uid="{704E3E8D-008B-024B-B1DD-D6AAE67F7E4B}" name="At least a lot of difficulty" dataDxfId="890"/>
    <tableColumn id="4" xr3:uid="{F56526D7-854B-1144-9D6A-86FD8B272569}" name="Difference" dataDxfId="889"/>
    <tableColumn id="5" xr3:uid="{5858E974-9935-5E41-AD37-E2B158654550}" name="Statistical Significance of the Difference" dataDxfId="888"/>
  </tableColumns>
  <tableStyleInfo name="TableStyleMedium2" showFirstColumn="1" showLastColumn="0" showRowStripes="1" showColumnStripes="0"/>
</table>
</file>

<file path=xl/tables/table16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7" xr:uid="{B89EE584-5EDF-DF42-B4D6-B88F1D1161A6}" name="Table_S1.6.a_Share_of_adults_age_15_to_44_in_households_with_electricity_Percentage_disaggregation_a" displayName="Table_S1.6.a_Share_of_adults_age_15_to_44_in_households_with_electricity_Percentage_disaggregation_a" ref="A97:E113" totalsRowShown="0" headerRowDxfId="887" dataDxfId="886">
  <autoFilter ref="A97:E113" xr:uid="{B89EE584-5EDF-DF42-B4D6-B88F1D1161A6}"/>
  <tableColumns count="5">
    <tableColumn id="1" xr3:uid="{BFE7A982-4775-6240-83A9-A260B67263BD}" name="Region" dataDxfId="885"/>
    <tableColumn id="2" xr3:uid="{55F1A3CD-87B8-6847-8CF3-302D6E4CC3E2}" name="No difficulty" dataDxfId="884"/>
    <tableColumn id="3" xr3:uid="{C08B894A-C1F9-0D43-B733-56C2C406B3AD}" name="Any difficulty" dataDxfId="883"/>
    <tableColumn id="4" xr3:uid="{A0F26C2B-7FC5-5F49-866D-0917DE1F36A1}" name="Difference" dataDxfId="882"/>
    <tableColumn id="5" xr3:uid="{C09C4BB1-3B5A-7F46-8946-FBB4E5152ABD}" name="Statistical Significance of the Difference" dataDxfId="881"/>
  </tableColumns>
  <tableStyleInfo name="TableStyleMedium2" showFirstColumn="1" showLastColumn="0" showRowStripes="1" showColumnStripes="0"/>
</table>
</file>

<file path=xl/tables/table16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8" xr:uid="{FC593613-E343-3944-8F3F-8040978D09CF}" name="Table_S1.6.b_Share_of_adults_age_15_to_44_in_households_with_electricity_Percentage_disaggregation_b" displayName="Table_S1.6.b_Share_of_adults_age_15_to_44_in_households_with_electricity_Percentage_disaggregation_b" ref="G97:N113" totalsRowShown="0" headerRowDxfId="880" dataDxfId="879">
  <autoFilter ref="G97:N113" xr:uid="{FC593613-E343-3944-8F3F-8040978D09CF}"/>
  <tableColumns count="8">
    <tableColumn id="1" xr3:uid="{69BE592F-5E11-3C4E-AE3B-B7BF9D83E7C9}" name="Region" dataDxfId="878"/>
    <tableColumn id="2" xr3:uid="{838F71B5-33C4-6D4F-B5CB-38489D28B077}" name="No difficulty" dataDxfId="877"/>
    <tableColumn id="3" xr3:uid="{5C9A644E-9E68-074C-889A-DC667176880B}" name="Some difficulty" dataDxfId="876"/>
    <tableColumn id="4" xr3:uid="{F4781663-846B-5549-A49C-63DA0EFF49FE}" name="Difference" dataDxfId="875"/>
    <tableColumn id="5" xr3:uid="{9F3A848A-992E-AB42-AB09-C4C295A596EA}" name="Statistical Significance of the Difference" dataDxfId="874"/>
    <tableColumn id="6" xr3:uid="{98D1682B-8678-514A-8CF1-4DCB5F73FAB4}" name="At least a lot of difficulty" dataDxfId="873"/>
    <tableColumn id="7" xr3:uid="{5AFDA305-7DA2-1743-A80C-978F73F52067}" name="Difference No difficulty &amp; At least a lot of difficulty" dataDxfId="872"/>
    <tableColumn id="8" xr3:uid="{78D3FFFA-BD5D-F64D-8C7A-6DFF0DE1C1C4}" name="Statistical Significance of the Difference (No difficulty vs At least a lot)" dataDxfId="871"/>
  </tableColumns>
  <tableStyleInfo name="TableStyleMedium2" showFirstColumn="1"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7AE79F07-3791-4D49-8032-969867F1BD2A}" name="Table_E3_Share_of_all_adults_who_have_completed_primary_school_Percentage_by_functional_difficulty_type" displayName="Table_E3_Share_of_all_adults_who_have_completed_primary_school_Percentage_by_functional_difficulty_type" ref="A40:H56" totalsRowShown="0" headerRowDxfId="2115" dataDxfId="2114">
  <autoFilter ref="A40:H56" xr:uid="{7AE79F07-3791-4D49-8032-969867F1BD2A}"/>
  <tableColumns count="8">
    <tableColumn id="1" xr3:uid="{14DDF41B-7BC9-9D48-91E0-E82B6896E7A1}" name="Region" dataDxfId="2113"/>
    <tableColumn id="2" xr3:uid="{3F3D15CE-0858-4C45-BC12-365271E34274}" name="No Difficulty" dataDxfId="2112"/>
    <tableColumn id="3" xr3:uid="{308914BE-4677-A143-9430-0E592299EA28}" name="Seeing" dataDxfId="2111"/>
    <tableColumn id="4" xr3:uid="{FF1C1540-309E-7341-BD23-BD6F8E1972A8}" name="Hearing" dataDxfId="2110"/>
    <tableColumn id="5" xr3:uid="{5294C2C0-4134-F944-97F8-5B511DE16839}" name="Mobility" dataDxfId="2109"/>
    <tableColumn id="6" xr3:uid="{23E0B4E5-883F-024F-B2DE-F572DD04B559}" name="Cognition" dataDxfId="2108"/>
    <tableColumn id="7" xr3:uid="{D5E1F4E1-EC9B-4149-A571-44EDC190FFA8}" name="Self-Care" dataDxfId="2107"/>
    <tableColumn id="8" xr3:uid="{A2E4D3D1-14AD-7545-81AE-5D295DB3AF8D}" name="Communication" dataDxfId="2106"/>
  </tableColumns>
  <tableStyleInfo name="TableStyleMedium2" showFirstColumn="1" showLastColumn="0" showRowStripes="1" showColumnStripes="0"/>
</table>
</file>

<file path=xl/tables/table17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9" xr:uid="{EDF9ABE1-EC40-F646-8C20-07C2F0E08BFF}" name="Table_S1.6.c_Share_of_adults_age_15_to_44_in_households_with_electricity_Percentage_disaggregation_c" displayName="Table_S1.6.c_Share_of_adults_age_15_to_44_in_households_with_electricity_Percentage_disaggregation_c" ref="P97:T113" totalsRowShown="0" headerRowDxfId="870" dataDxfId="869">
  <autoFilter ref="P97:T113" xr:uid="{EDF9ABE1-EC40-F646-8C20-07C2F0E08BFF}"/>
  <tableColumns count="5">
    <tableColumn id="1" xr3:uid="{C24266C4-DE2D-C14D-A429-C3AFA8300C3B}" name="Region" dataDxfId="868"/>
    <tableColumn id="2" xr3:uid="{C859A7FA-81ED-E940-8D8F-D1AAEF99C575}" name="No or some difficulty" dataDxfId="867"/>
    <tableColumn id="3" xr3:uid="{F7F6C27B-BA83-624F-9185-2444F6A3ABB4}" name="At least a lot of difficulty" dataDxfId="866"/>
    <tableColumn id="4" xr3:uid="{041A75B9-DE43-3346-B87F-9455A0909395}" name="Difference" dataDxfId="865"/>
    <tableColumn id="5" xr3:uid="{5E685479-2615-2B44-B6C0-542130B8D721}" name="Statistical Significance of the Difference" dataDxfId="864"/>
  </tableColumns>
  <tableStyleInfo name="TableStyleMedium2" showFirstColumn="1" showLastColumn="0" showRowStripes="1" showColumnStripes="0"/>
</table>
</file>

<file path=xl/tables/table17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0" xr:uid="{BE322080-5FC3-6143-87B6-98397BB60C94}" name="Table_S1.7.a_Share_of_adults_age_45_and_older_in_households_with_electricity_Percentage_disaggregation_a" displayName="Table_S1.7.a_Share_of_adults_age_45_and_older_in_households_with_electricity_Percentage_disaggregation_a" ref="A116:E132" totalsRowShown="0" headerRowDxfId="863" dataDxfId="862">
  <autoFilter ref="A116:E132" xr:uid="{BE322080-5FC3-6143-87B6-98397BB60C94}"/>
  <tableColumns count="5">
    <tableColumn id="1" xr3:uid="{1939BDCA-57FF-334F-9E3D-4C5B2B24CE07}" name="Region" dataDxfId="861"/>
    <tableColumn id="2" xr3:uid="{04945415-E443-664C-88E6-21559CA32F7B}" name="No difficulty" dataDxfId="860"/>
    <tableColumn id="3" xr3:uid="{2A7A1AE3-404F-5544-A9CD-358806876F59}" name="Any difficulty" dataDxfId="859"/>
    <tableColumn id="4" xr3:uid="{DE0E8002-AF28-A744-99FB-5615C508B54C}" name="Difference" dataDxfId="858"/>
    <tableColumn id="5" xr3:uid="{7E9F6E4D-BC88-3745-B154-6C2997E1B6E2}" name="Statistical Significance of the Difference" dataDxfId="857"/>
  </tableColumns>
  <tableStyleInfo name="TableStyleMedium2" showFirstColumn="1" showLastColumn="0" showRowStripes="1" showColumnStripes="0"/>
</table>
</file>

<file path=xl/tables/table17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1" xr:uid="{A44969A1-5B77-6B44-A666-659D3994E95B}" name="Table_S1.7.b_Share_of_adults_age_45_and_older_in_households_with_electricity_Percentage_disaggregation_b" displayName="Table_S1.7.b_Share_of_adults_age_45_and_older_in_households_with_electricity_Percentage_disaggregation_b" ref="G116:N132" totalsRowShown="0" headerRowDxfId="856" dataDxfId="855">
  <autoFilter ref="G116:N132" xr:uid="{A44969A1-5B77-6B44-A666-659D3994E95B}"/>
  <tableColumns count="8">
    <tableColumn id="1" xr3:uid="{70D7C941-F7BE-4D40-9267-095555B9D5A9}" name="Region" dataDxfId="854"/>
    <tableColumn id="2" xr3:uid="{954661E8-B5E8-C244-A538-AD4E4EECC4D1}" name="No difficulty" dataDxfId="853"/>
    <tableColumn id="3" xr3:uid="{7995BF47-6531-7A4F-9BB5-270F973C7B5A}" name="Some difficulty" dataDxfId="852"/>
    <tableColumn id="4" xr3:uid="{245C936B-A5D5-C442-9E01-6C1F02F03D2D}" name="Difference" dataDxfId="851"/>
    <tableColumn id="5" xr3:uid="{3473D495-434D-9B46-8DB3-746EC480D5A3}" name="Statistical Significance of the Difference" dataDxfId="850"/>
    <tableColumn id="6" xr3:uid="{71FFA365-3324-2747-A1FC-2F03EFBA48A9}" name="At least a lot of difficulty" dataDxfId="849"/>
    <tableColumn id="7" xr3:uid="{7902EE6B-AEBE-4E4E-80B7-E3577B7E58A0}" name="Difference No difficulty &amp; At least a lot of difficulty" dataDxfId="848"/>
    <tableColumn id="8" xr3:uid="{875279F3-AC11-C140-AF12-4FC704BB30FC}" name="Statistical Significance of the Difference (No difficulty vs At least a lot)" dataDxfId="847"/>
  </tableColumns>
  <tableStyleInfo name="TableStyleMedium2" showFirstColumn="1" showLastColumn="0" showRowStripes="1" showColumnStripes="0"/>
</table>
</file>

<file path=xl/tables/table17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2" xr:uid="{17170CA4-C8B4-6844-AAE8-A6102717332A}" name="Table_S1.7.c_Share_of_adults_age_45_and_older_in_households_with_electricity_Percentage_disaggregation_c" displayName="Table_S1.7.c_Share_of_adults_age_45_and_older_in_households_with_electricity_Percentage_disaggregation_c" ref="P116:T132" totalsRowShown="0" headerRowDxfId="846" dataDxfId="845">
  <autoFilter ref="P116:T132" xr:uid="{17170CA4-C8B4-6844-AAE8-A6102717332A}"/>
  <tableColumns count="5">
    <tableColumn id="1" xr3:uid="{4511DA42-86B7-9440-8005-6E434CC32F1F}" name="Region" dataDxfId="844"/>
    <tableColumn id="2" xr3:uid="{D8148D25-6A17-4943-8BD5-61C3B7AF015E}" name="No or some difficulty" dataDxfId="843"/>
    <tableColumn id="3" xr3:uid="{014BD9C4-F5A5-D348-8358-DC308E34F30A}" name="At least a lot of difficulty" dataDxfId="842"/>
    <tableColumn id="4" xr3:uid="{A89DFC1C-C6B4-D842-9EFF-AC16AE085A7D}" name="Difference" dataDxfId="841"/>
    <tableColumn id="5" xr3:uid="{AFF13D1D-05A5-4145-89D4-45135427AFB3}" name="Statistical Significance of the Difference" dataDxfId="840"/>
  </tableColumns>
  <tableStyleInfo name="TableStyleMedium2" showFirstColumn="1" showLastColumn="0" showRowStripes="1" showColumnStripes="0"/>
</table>
</file>

<file path=xl/tables/table17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3" xr:uid="{1AD67682-1672-4248-82EE-9C387A27F89D}" name="Table_S2.1.a_Share_of_all_adults_in_households_with_clean_cooking_fuel_Percentage_disaggregation_a" displayName="Table_S2.1.a_Share_of_all_adults_in_households_with_clean_cooking_fuel_Percentage_disaggregation_a" ref="A2:E18" totalsRowShown="0" headerRowDxfId="839" dataDxfId="838">
  <autoFilter ref="A2:E18" xr:uid="{1AD67682-1672-4248-82EE-9C387A27F89D}"/>
  <tableColumns count="5">
    <tableColumn id="1" xr3:uid="{799750B3-E5FE-C34E-ACE3-5B41743D7734}" name="Region" dataDxfId="837"/>
    <tableColumn id="2" xr3:uid="{FC7411A4-FDB8-E14E-B3D6-4700A2BDC900}" name="No difficulty" dataDxfId="836"/>
    <tableColumn id="3" xr3:uid="{87C68292-D43C-C54D-9C6B-12C463A1A074}" name="Any difficulty" dataDxfId="835"/>
    <tableColumn id="4" xr3:uid="{C725F62A-0BE2-FB4F-85D6-D3F6A11E13A9}" name="Difference" dataDxfId="834"/>
    <tableColumn id="5" xr3:uid="{0280DDA0-0B2D-9045-9008-BA32618A12AF}" name="Statistical Significance of the Difference" dataDxfId="833"/>
  </tableColumns>
  <tableStyleInfo name="TableStyleMedium2" showFirstColumn="1" showLastColumn="0" showRowStripes="1" showColumnStripes="0"/>
</table>
</file>

<file path=xl/tables/table17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4" xr:uid="{BDAED0F5-9C77-EB4D-8AAF-2E7F384A0D82}" name="Table_S2.1.b_Share_of_all_adults_in_households_with_clean_cooking_fuel_Percentage_disaggregation_b" displayName="Table_S2.1.b_Share_of_all_adults_in_households_with_clean_cooking_fuel_Percentage_disaggregation_b" ref="G2:N18" totalsRowShown="0" headerRowDxfId="832" dataDxfId="831">
  <autoFilter ref="G2:N18" xr:uid="{BDAED0F5-9C77-EB4D-8AAF-2E7F384A0D82}"/>
  <tableColumns count="8">
    <tableColumn id="1" xr3:uid="{C784FA07-3258-DE45-AE55-4775B3D7DA22}" name="Region" dataDxfId="830"/>
    <tableColumn id="2" xr3:uid="{95AA7929-150E-1442-A93C-586235CA218A}" name="No difficulty" dataDxfId="829"/>
    <tableColumn id="3" xr3:uid="{02BCCADC-C50A-CF4B-89A8-523E6BB7B48B}" name="Some difficulty" dataDxfId="828"/>
    <tableColumn id="4" xr3:uid="{9055ADFB-4B13-BD4E-8D79-02569F6C42A8}" name="Difference" dataDxfId="827"/>
    <tableColumn id="5" xr3:uid="{16BB6026-7A6F-294B-9FB9-5729F82CE2AC}" name="Statistical Significance of the Difference" dataDxfId="826"/>
    <tableColumn id="6" xr3:uid="{BBE6ABBA-C0CF-FE4C-B5B9-B366BD356D52}" name="At least a lot of difficulty" dataDxfId="825"/>
    <tableColumn id="7" xr3:uid="{FFAFA72D-C0EF-1846-A023-9E070904774C}" name="Difference No difficulty &amp; At least a lot of difficulty" dataDxfId="824"/>
    <tableColumn id="8" xr3:uid="{01EED332-7C59-7149-951C-AE83E65532B1}" name="Statistical Significance of the Difference (No difficulty vs At least a lot)" dataDxfId="823"/>
  </tableColumns>
  <tableStyleInfo name="TableStyleMedium2" showFirstColumn="1" showLastColumn="0" showRowStripes="1" showColumnStripes="0"/>
</table>
</file>

<file path=xl/tables/table17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5" xr:uid="{D1ADF60E-67E6-D748-8E35-4815B700768F}" name="Table_S2.1.c_Share_of_all_adults_in_households_with_clean_cooking_fuel_Percentage_disaggregation_c" displayName="Table_S2.1.c_Share_of_all_adults_in_households_with_clean_cooking_fuel_Percentage_disaggregation_c" ref="P2:T18" totalsRowShown="0" headerRowDxfId="822" dataDxfId="821">
  <autoFilter ref="P2:T18" xr:uid="{D1ADF60E-67E6-D748-8E35-4815B700768F}"/>
  <tableColumns count="5">
    <tableColumn id="1" xr3:uid="{92FB16EA-12A9-074B-B13B-9D677F563BFB}" name="Region" dataDxfId="820"/>
    <tableColumn id="2" xr3:uid="{A4FC7EB5-2250-844D-835E-B1E397B22820}" name="No or some difficulty" dataDxfId="819"/>
    <tableColumn id="3" xr3:uid="{FD6B5909-CA74-EF43-A594-B244894DB038}" name="At least a lot of difficulty" dataDxfId="818"/>
    <tableColumn id="4" xr3:uid="{FDA573FB-B0E6-CB4C-B839-C4AB15D021CC}" name="Difference" dataDxfId="817"/>
    <tableColumn id="5" xr3:uid="{FDE49F54-93C0-7E48-85FF-AE32043F96F9}" name="Statistical Significance of the Difference" dataDxfId="816"/>
  </tableColumns>
  <tableStyleInfo name="TableStyleMedium2" showFirstColumn="1" showLastColumn="0" showRowStripes="1" showColumnStripes="0"/>
</table>
</file>

<file path=xl/tables/table17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6" xr:uid="{1BB251F1-7ABA-E24B-90A5-F6BE47978597}" name="Table_S2.2.a_Share_of_females_in_households_with_clean_cooking_fuel_Percentage_disaggregation_a" displayName="Table_S2.2.a_Share_of_females_in_households_with_clean_cooking_fuel_Percentage_disaggregation_a" ref="A21:E37" totalsRowShown="0" headerRowDxfId="815" dataDxfId="814">
  <autoFilter ref="A21:E37" xr:uid="{1BB251F1-7ABA-E24B-90A5-F6BE47978597}"/>
  <tableColumns count="5">
    <tableColumn id="1" xr3:uid="{9FCD23B8-B5B2-E840-91E8-6320A49B06D8}" name="Region" dataDxfId="813"/>
    <tableColumn id="2" xr3:uid="{F48702DC-A453-0945-900A-32626B23114B}" name="No difficulty" dataDxfId="812"/>
    <tableColumn id="3" xr3:uid="{E21A3DF1-5401-9143-B11E-C9224FC9469E}" name="Any difficulty" dataDxfId="811"/>
    <tableColumn id="4" xr3:uid="{E64D1F2B-3D96-354A-9833-6121DF23D7D6}" name="Difference" dataDxfId="810"/>
    <tableColumn id="5" xr3:uid="{485C45F6-9BC7-7D4A-87A2-272EE0E7F060}" name="Statistical Significance of the Difference" dataDxfId="809"/>
  </tableColumns>
  <tableStyleInfo name="TableStyleMedium2" showFirstColumn="1" showLastColumn="0" showRowStripes="1" showColumnStripes="0"/>
</table>
</file>

<file path=xl/tables/table17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7" xr:uid="{E3AA801A-0DA7-534A-9C58-D29D233FE057}" name="Table_S2.2.b_Share_of_females_in_households_with_clean_cooking_fuel_Percentage_disaggregation_b" displayName="Table_S2.2.b_Share_of_females_in_households_with_clean_cooking_fuel_Percentage_disaggregation_b" ref="G21:N37" totalsRowShown="0" headerRowDxfId="808" dataDxfId="807">
  <autoFilter ref="G21:N37" xr:uid="{E3AA801A-0DA7-534A-9C58-D29D233FE057}"/>
  <tableColumns count="8">
    <tableColumn id="1" xr3:uid="{AFDBAB01-4D7F-764E-9718-3A70E593EFFF}" name="Region" dataDxfId="806"/>
    <tableColumn id="2" xr3:uid="{EED0A3C2-5625-9E42-949E-DD2C3DF79228}" name="No difficulty" dataDxfId="805"/>
    <tableColumn id="3" xr3:uid="{731A5DDD-2986-5045-B84A-57834B8B301A}" name="Some difficulty" dataDxfId="804"/>
    <tableColumn id="4" xr3:uid="{7935C5C2-A6BB-2F45-A092-FCD050FC2FF3}" name="Difference" dataDxfId="803"/>
    <tableColumn id="5" xr3:uid="{E3DD59A3-83C2-6E4D-A1B1-9EE3373C8A6F}" name="Statistical Significance of the Difference" dataDxfId="802"/>
    <tableColumn id="6" xr3:uid="{04190277-51D4-074E-9BB2-4224E2F09B03}" name="At least a lot of difficulty" dataDxfId="801"/>
    <tableColumn id="7" xr3:uid="{62B98E16-F17D-4847-87FF-7CFD6A0D8046}" name="Difference No difficulty &amp; At least a lot of difficulty" dataDxfId="800"/>
    <tableColumn id="8" xr3:uid="{D42A0A9C-9070-CE46-ADA4-E2873E073B08}" name="Statistical Significance of the Difference (No difficulty vs At least a lot)" dataDxfId="799"/>
  </tableColumns>
  <tableStyleInfo name="TableStyleMedium2" showFirstColumn="1" showLastColumn="0" showRowStripes="1" showColumnStripes="0"/>
</table>
</file>

<file path=xl/tables/table17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8" xr:uid="{3C0D55E9-C580-8A4E-9767-545BB53A4BAE}" name="Table_S2.2.c_Share_of_females_in_households_with_clean_cooking_fuel_Percentage_disaggregation_c" displayName="Table_S2.2.c_Share_of_females_in_households_with_clean_cooking_fuel_Percentage_disaggregation_c" ref="P21:T37" totalsRowShown="0" headerRowDxfId="798" dataDxfId="797">
  <autoFilter ref="P21:T37" xr:uid="{3C0D55E9-C580-8A4E-9767-545BB53A4BAE}"/>
  <tableColumns count="5">
    <tableColumn id="1" xr3:uid="{0FFAF256-11D4-E246-948D-B0B4E5111724}" name="Region" dataDxfId="796"/>
    <tableColumn id="2" xr3:uid="{991FA1D9-F7E0-C14E-A857-BFFB223B58C4}" name="No or some difficulty" dataDxfId="795"/>
    <tableColumn id="3" xr3:uid="{22EDC8E4-4F67-CC40-B0C3-40B71A10E752}" name="At least a lot of difficulty" dataDxfId="794"/>
    <tableColumn id="4" xr3:uid="{EFE4204D-AEB2-7944-A7FC-CC9E2D4DC5B5}" name="Difference" dataDxfId="793"/>
    <tableColumn id="5" xr3:uid="{DE5D89F9-37FB-2441-B744-41F81BD99922}" name="Statistical Significance of the Difference" dataDxfId="792"/>
  </tableColumns>
  <tableStyleInfo name="TableStyleMedium2" showFirstColumn="1"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B1B3F299-62D9-2B4F-B851-EACFEEDB1B32}" name="Table_E4_Share_of_all_adults_who_have_completed_secondary_school_or_higher_Percentage_by_functional_difficulty_type" displayName="Table_E4_Share_of_all_adults_who_have_completed_secondary_school_or_higher_Percentage_by_functional_difficulty_type" ref="A59:H75" totalsRowShown="0" headerRowDxfId="2105" dataDxfId="2104">
  <autoFilter ref="A59:H75" xr:uid="{B1B3F299-62D9-2B4F-B851-EACFEEDB1B32}"/>
  <tableColumns count="8">
    <tableColumn id="1" xr3:uid="{8B2E2DE0-F810-FA4B-8813-F4705DB35739}" name="Region" dataDxfId="2103"/>
    <tableColumn id="2" xr3:uid="{93311FB7-2A6B-BC44-92FF-181826B9A129}" name="No Difficulty" dataDxfId="2102"/>
    <tableColumn id="3" xr3:uid="{0FB3D507-1D5A-F040-ADA8-22CDB025A0CF}" name="Seeing" dataDxfId="2101"/>
    <tableColumn id="4" xr3:uid="{581AB726-C0D9-E44E-9315-BDF67DC1F86E}" name="Hearing" dataDxfId="2100"/>
    <tableColumn id="5" xr3:uid="{ECD9BB32-7B25-2646-B63E-BF9FC8FF432E}" name="Mobility" dataDxfId="2099"/>
    <tableColumn id="6" xr3:uid="{03F90F42-3F65-7244-8E91-80DD16D08E53}" name="Cognition" dataDxfId="2098"/>
    <tableColumn id="7" xr3:uid="{74F9477F-59BD-F749-AE63-62F57A0F969C}" name="Self-Care" dataDxfId="2097"/>
    <tableColumn id="8" xr3:uid="{1206FE55-22B6-C841-A241-D918F3CB524F}" name="Communication" dataDxfId="2096"/>
  </tableColumns>
  <tableStyleInfo name="TableStyleMedium2" showFirstColumn="1" showLastColumn="0" showRowStripes="1" showColumnStripes="0"/>
</table>
</file>

<file path=xl/tables/table18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9" xr:uid="{C93738FB-70BA-354C-BBDD-18C03A8AD631}" name="Table_S2.3.a_Share_of_males_in_households_with_clean_cooking_fuel_Percentage_disaggregation_a" displayName="Table_S2.3.a_Share_of_males_in_households_with_clean_cooking_fuel_Percentage_disaggregation_a" ref="A40:E56" totalsRowShown="0" headerRowDxfId="791" dataDxfId="790">
  <autoFilter ref="A40:E56" xr:uid="{C93738FB-70BA-354C-BBDD-18C03A8AD631}"/>
  <tableColumns count="5">
    <tableColumn id="1" xr3:uid="{C9DD69CF-ABDF-B443-8EBA-6E8AC2FADEF1}" name="Region" dataDxfId="789"/>
    <tableColumn id="2" xr3:uid="{54CBF743-509C-1A4E-85E6-BCC183ED80B2}" name="No difficulty" dataDxfId="788"/>
    <tableColumn id="3" xr3:uid="{B538CF1A-B991-7042-874F-636A74DA96E3}" name="Any difficulty" dataDxfId="787"/>
    <tableColumn id="4" xr3:uid="{8274A8C2-2CFC-5E41-BD29-4493CE220DB6}" name="Difference" dataDxfId="786"/>
    <tableColumn id="5" xr3:uid="{D434AF04-7A32-C048-8041-DE82D98C5274}" name="Statistical Significance of the Difference" dataDxfId="785"/>
  </tableColumns>
  <tableStyleInfo name="TableStyleMedium2" showFirstColumn="1" showLastColumn="0" showRowStripes="1" showColumnStripes="0"/>
</table>
</file>

<file path=xl/tables/table18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0" xr:uid="{76EFA667-5593-9C49-B742-FFC0B6161628}" name="Table_S2.3.b_Share_of_males_in_households_with_clean_cooking_fuel_Percentage_disaggregation_b" displayName="Table_S2.3.b_Share_of_males_in_households_with_clean_cooking_fuel_Percentage_disaggregation_b" ref="G40:N56" totalsRowShown="0" headerRowDxfId="784" dataDxfId="783">
  <autoFilter ref="G40:N56" xr:uid="{76EFA667-5593-9C49-B742-FFC0B6161628}"/>
  <tableColumns count="8">
    <tableColumn id="1" xr3:uid="{83C96A85-AB66-E94D-BECE-51F30C2F529B}" name="Region" dataDxfId="782"/>
    <tableColumn id="2" xr3:uid="{EA7397D3-6A7F-684B-A1FE-13881B92C6FD}" name="No difficulty" dataDxfId="781"/>
    <tableColumn id="3" xr3:uid="{22A8941F-3A70-CF4A-AE3D-C3012F20DABA}" name="Some difficulty" dataDxfId="780"/>
    <tableColumn id="4" xr3:uid="{BBD94AD2-1861-CB44-9CE7-25E088C4EC32}" name="Difference" dataDxfId="779"/>
    <tableColumn id="5" xr3:uid="{61A06D3E-81B4-E84C-973C-E9E8C492A3DF}" name="Statistical Significance of the Difference" dataDxfId="778"/>
    <tableColumn id="6" xr3:uid="{3370591E-16C3-0B47-80E2-D939E8ADEEFA}" name="At least a lot of difficulty" dataDxfId="777"/>
    <tableColumn id="7" xr3:uid="{EE2A3A1C-ED60-1041-A8B7-6D21475AC51F}" name="Difference No difficulty &amp; At least a lot of difficulty" dataDxfId="776"/>
    <tableColumn id="8" xr3:uid="{4AA21D47-A7F5-4F46-BC62-BE36DBDAD0DE}" name="Statistical Significance of the Difference (No difficulty vs At least a lot)" dataDxfId="775"/>
  </tableColumns>
  <tableStyleInfo name="TableStyleMedium2" showFirstColumn="1" showLastColumn="0" showRowStripes="1" showColumnStripes="0"/>
</table>
</file>

<file path=xl/tables/table18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1" xr:uid="{021A6B25-7FC1-D948-8F7D-C363EF35E921}" name="Table_S2.3.c_Share_of_males_in_households_with_clean_cooking_fuel_Percentage_disaggregation_c" displayName="Table_S2.3.c_Share_of_males_in_households_with_clean_cooking_fuel_Percentage_disaggregation_c" ref="P40:T56" totalsRowShown="0" headerRowDxfId="774" dataDxfId="773">
  <autoFilter ref="P40:T56" xr:uid="{021A6B25-7FC1-D948-8F7D-C363EF35E921}"/>
  <tableColumns count="5">
    <tableColumn id="1" xr3:uid="{825ECB14-A2EB-8D47-99B3-8EBB77EF1E0E}" name="Region" dataDxfId="772"/>
    <tableColumn id="2" xr3:uid="{2530D976-EE3A-E241-A7BA-D85B24EE1136}" name="No or some difficulty" dataDxfId="771"/>
    <tableColumn id="3" xr3:uid="{BF546E03-E2FC-6D4E-9143-0B7D6C33FE0E}" name="At least a lot of difficulty" dataDxfId="770"/>
    <tableColumn id="4" xr3:uid="{AAA2317E-F6CC-1A46-88AB-F21EF401270F}" name="Difference" dataDxfId="769"/>
    <tableColumn id="5" xr3:uid="{B1EEBFDE-BBB5-E84C-8C4B-D665EB2028EA}" name="Statistical Significance of the Difference" dataDxfId="768"/>
  </tableColumns>
  <tableStyleInfo name="TableStyleMedium2" showFirstColumn="1" showLastColumn="0" showRowStripes="1" showColumnStripes="0"/>
</table>
</file>

<file path=xl/tables/table18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2" xr:uid="{219A9DBF-0214-C24F-8960-A53BE0F77AF7}" name="Table_S2.4.a_Share_of_rural_residents_in_households_with_clean_cooking_fuel_Percentage_disaggregation_a" displayName="Table_S2.4.a_Share_of_rural_residents_in_households_with_clean_cooking_fuel_Percentage_disaggregation_a" ref="A59:E75" totalsRowShown="0" headerRowDxfId="767" dataDxfId="766">
  <autoFilter ref="A59:E75" xr:uid="{219A9DBF-0214-C24F-8960-A53BE0F77AF7}"/>
  <tableColumns count="5">
    <tableColumn id="1" xr3:uid="{AE0EBA50-3474-AE4B-AF08-F8E3BB6BE4FB}" name="Region" dataDxfId="765"/>
    <tableColumn id="2" xr3:uid="{A1163ACD-2F9D-CC40-9549-161EC25FDC01}" name="No difficulty" dataDxfId="764"/>
    <tableColumn id="3" xr3:uid="{FE104D0F-0EA5-FD41-8622-717ACE5A9AD4}" name="Any difficulty" dataDxfId="763"/>
    <tableColumn id="4" xr3:uid="{AB3FAB0C-AA12-9E4E-80B7-430D3EEC9BC9}" name="Difference" dataDxfId="762"/>
    <tableColumn id="5" xr3:uid="{C4191D6A-474B-914F-B550-FA090B7F0E9E}" name="Statistical Significance of the Difference" dataDxfId="761"/>
  </tableColumns>
  <tableStyleInfo name="TableStyleMedium2" showFirstColumn="1" showLastColumn="0" showRowStripes="1" showColumnStripes="0"/>
</table>
</file>

<file path=xl/tables/table18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3" xr:uid="{6CBF2E8A-0226-A949-9BC7-161AB9380882}" name="Table_S2.4.b_Share_of_rural_residents_in_households_with_clean_cooking_fuel_Percentage_disaggregation_b" displayName="Table_S2.4.b_Share_of_rural_residents_in_households_with_clean_cooking_fuel_Percentage_disaggregation_b" ref="G59:N75" totalsRowShown="0" headerRowDxfId="760" dataDxfId="759">
  <autoFilter ref="G59:N75" xr:uid="{6CBF2E8A-0226-A949-9BC7-161AB9380882}"/>
  <tableColumns count="8">
    <tableColumn id="1" xr3:uid="{8F5607A2-B714-7840-A9BE-46A1590599F1}" name="Region" dataDxfId="758"/>
    <tableColumn id="2" xr3:uid="{0C8B02D3-7EEC-3943-BC92-0E6AE6614FBA}" name="No difficulty" dataDxfId="757"/>
    <tableColumn id="3" xr3:uid="{911724F1-45E1-6044-8574-FF36BC78FE88}" name="Some difficulty" dataDxfId="756"/>
    <tableColumn id="4" xr3:uid="{0F8AB8D8-AF72-424D-A738-5559F3C6ABB2}" name="Difference" dataDxfId="755"/>
    <tableColumn id="5" xr3:uid="{66EB06D9-3486-BB4F-96FE-9C2ECFD521B8}" name="Statistical Significance of the Difference" dataDxfId="754"/>
    <tableColumn id="6" xr3:uid="{108A0871-80C1-C34C-A0A2-AD26E2CDA10F}" name="At least a lot of difficulty" dataDxfId="753"/>
    <tableColumn id="7" xr3:uid="{C4EBABE0-18E8-4845-A98D-F59B1E043F7F}" name="Difference No difficulty &amp; At least a lot of difficulty" dataDxfId="752"/>
    <tableColumn id="8" xr3:uid="{47CBC047-C105-4547-8BCC-470B83B5D25B}" name="Statistical Significance of the Difference (No difficulty vs At least a lot)" dataDxfId="751"/>
  </tableColumns>
  <tableStyleInfo name="TableStyleMedium2" showFirstColumn="1" showLastColumn="0" showRowStripes="1" showColumnStripes="0"/>
</table>
</file>

<file path=xl/tables/table18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4" xr:uid="{E4010A68-BE72-8743-97DC-5B6E6F770E89}" name="Table_S2.4.c_Share_of_rural_residents_in_households_with_clean_cooking_fuel_Percentage_disaggregation_c" displayName="Table_S2.4.c_Share_of_rural_residents_in_households_with_clean_cooking_fuel_Percentage_disaggregation_c" ref="P59:T75" totalsRowShown="0" headerRowDxfId="750" dataDxfId="749">
  <autoFilter ref="P59:T75" xr:uid="{E4010A68-BE72-8743-97DC-5B6E6F770E89}"/>
  <tableColumns count="5">
    <tableColumn id="1" xr3:uid="{4204DFED-6314-5E4A-94A2-9550BBDC0161}" name="Region" dataDxfId="748"/>
    <tableColumn id="2" xr3:uid="{674E1AE1-3C7B-1542-A9FB-CC27A629F18C}" name="No or some difficulty" dataDxfId="747"/>
    <tableColumn id="3" xr3:uid="{8BD0B5FF-74C5-6A4C-8BBE-2569F46E982E}" name="At least a lot of difficulty" dataDxfId="746"/>
    <tableColumn id="4" xr3:uid="{3E4B94E5-E51E-B745-9278-80A4FF64FA2B}" name="Difference" dataDxfId="745"/>
    <tableColumn id="5" xr3:uid="{46BA8B25-8AD7-0143-97B9-060B83D6AC7E}" name="Statistical Significance of the Difference" dataDxfId="744"/>
  </tableColumns>
  <tableStyleInfo name="TableStyleMedium2" showFirstColumn="1" showLastColumn="0" showRowStripes="1" showColumnStripes="0"/>
</table>
</file>

<file path=xl/tables/table18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5" xr:uid="{6BE4F665-120B-FC48-933B-548F36D0DB06}" name="Table_S2.5.a_Share_of_urban_residents_in_households_with_clean_cooking_fuel_Percentage_disaggregation_a" displayName="Table_S2.5.a_Share_of_urban_residents_in_households_with_clean_cooking_fuel_Percentage_disaggregation_a" ref="A78:E94" totalsRowShown="0" headerRowDxfId="743" dataDxfId="742">
  <autoFilter ref="A78:E94" xr:uid="{6BE4F665-120B-FC48-933B-548F36D0DB06}"/>
  <tableColumns count="5">
    <tableColumn id="1" xr3:uid="{77AC07D1-1C64-2A47-9B5F-8802ECAB4DE5}" name="Region" dataDxfId="741"/>
    <tableColumn id="2" xr3:uid="{C82BB2DC-CE52-9543-98A1-09EA86F5D5BC}" name="No difficulty" dataDxfId="740"/>
    <tableColumn id="3" xr3:uid="{307473A0-09BF-4549-99BF-512FEE7F5657}" name="Any difficulty" dataDxfId="739"/>
    <tableColumn id="4" xr3:uid="{DFD95C7D-CA58-5E47-98DF-9F396E03D8D0}" name="Difference" dataDxfId="738"/>
    <tableColumn id="5" xr3:uid="{7BA46B19-32B2-C44E-AA71-24A26F2C7F7F}" name="Statistical Significance of the Difference" dataDxfId="737"/>
  </tableColumns>
  <tableStyleInfo name="TableStyleMedium2" showFirstColumn="1" showLastColumn="0" showRowStripes="1" showColumnStripes="0"/>
</table>
</file>

<file path=xl/tables/table18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6" xr:uid="{0AF04D43-2DE3-2C48-A1AA-EB7B390C84BF}" name="Table_S2.5.b_Share_of_urban_residents_in_households_with_clean_cooking_fuel_Percentage_disaggregation_b" displayName="Table_S2.5.b_Share_of_urban_residents_in_households_with_clean_cooking_fuel_Percentage_disaggregation_b" ref="G78:N94" totalsRowShown="0" headerRowDxfId="736" dataDxfId="735">
  <autoFilter ref="G78:N94" xr:uid="{0AF04D43-2DE3-2C48-A1AA-EB7B390C84BF}"/>
  <tableColumns count="8">
    <tableColumn id="1" xr3:uid="{AC5F636D-53E5-E245-AAEA-0BB87752CF5E}" name="Region" dataDxfId="734"/>
    <tableColumn id="2" xr3:uid="{05BBE056-A52A-CF46-B4B8-F36CED64DCE7}" name="No difficulty" dataDxfId="733"/>
    <tableColumn id="3" xr3:uid="{2D0DE0F3-309E-024F-8C1C-3E2570B08AF9}" name="Some difficulty" dataDxfId="732"/>
    <tableColumn id="4" xr3:uid="{9899EEC5-3F63-8D46-A173-4BC8FA823D49}" name="Difference" dataDxfId="731"/>
    <tableColumn id="5" xr3:uid="{E68CCDDA-667F-344B-930D-B9DFBCC4F57B}" name="Statistical Significance of the Difference" dataDxfId="730"/>
    <tableColumn id="6" xr3:uid="{95F29A69-D429-CF4F-A069-AD02643354E2}" name="At least a lot of difficulty" dataDxfId="729"/>
    <tableColumn id="7" xr3:uid="{71DD5470-9A87-4447-B294-873C8A2F12F1}" name="Difference No difficulty &amp; At least a lot of difficulty" dataDxfId="728"/>
    <tableColumn id="8" xr3:uid="{8EA5D49C-0491-B949-920D-57EFB94099D2}" name="Statistical Significance of the Difference (No difficulty vs At least a lot)" dataDxfId="727"/>
  </tableColumns>
  <tableStyleInfo name="TableStyleMedium2" showFirstColumn="1" showLastColumn="0" showRowStripes="1" showColumnStripes="0"/>
</table>
</file>

<file path=xl/tables/table18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7" xr:uid="{9FD6B5AC-999C-604F-9BAA-7244C79E2807}" name="Table_S2.5.c_Share_of_urban_residents_in_households_with_clean_cooking_fuel_Percentage_disaggregation_c" displayName="Table_S2.5.c_Share_of_urban_residents_in_households_with_clean_cooking_fuel_Percentage_disaggregation_c" ref="P78:T94" totalsRowShown="0" headerRowDxfId="726" dataDxfId="725">
  <autoFilter ref="P78:T94" xr:uid="{9FD6B5AC-999C-604F-9BAA-7244C79E2807}"/>
  <tableColumns count="5">
    <tableColumn id="1" xr3:uid="{1B9F99E5-2E28-4B48-9147-E02451191B08}" name="Region" dataDxfId="724"/>
    <tableColumn id="2" xr3:uid="{4C1EEE1B-46E6-DA4A-86E6-C97F8A9E676C}" name="No or some difficulty" dataDxfId="723"/>
    <tableColumn id="3" xr3:uid="{04B849B5-E7E4-B849-AD32-2549E77A9D3F}" name="At least a lot of difficulty" dataDxfId="722"/>
    <tableColumn id="4" xr3:uid="{6C2B145C-33A8-044E-AD00-CE83134BDFB4}" name="Difference" dataDxfId="721"/>
    <tableColumn id="5" xr3:uid="{CA9F5150-3029-1A46-94FC-8A04601A1310}" name="Statistical Significance of the Difference" dataDxfId="720"/>
  </tableColumns>
  <tableStyleInfo name="TableStyleMedium2" showFirstColumn="1" showLastColumn="0" showRowStripes="1" showColumnStripes="0"/>
</table>
</file>

<file path=xl/tables/table18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8" xr:uid="{50734465-9128-6F49-B750-AE2972A8B0F4}" name="Table_S2.6.a_Share_of_adults_age_15_to_44_in_households_with_clean_cooking_fuel_Percentage_disaggregation_a" displayName="Table_S2.6.a_Share_of_adults_age_15_to_44_in_households_with_clean_cooking_fuel_Percentage_disaggregation_a" ref="A97:E113" totalsRowShown="0" headerRowDxfId="719" dataDxfId="718">
  <autoFilter ref="A97:E113" xr:uid="{50734465-9128-6F49-B750-AE2972A8B0F4}"/>
  <tableColumns count="5">
    <tableColumn id="1" xr3:uid="{7A385216-3949-B04B-AC3E-F269C2A9A6A2}" name="Region" dataDxfId="717"/>
    <tableColumn id="2" xr3:uid="{13518B70-BA65-CD46-BAAA-9EF6AB37C8A8}" name="No difficulty" dataDxfId="716"/>
    <tableColumn id="3" xr3:uid="{EB0CAB1D-3BCB-B547-AF3D-F4485A0923DC}" name="Any difficulty" dataDxfId="715"/>
    <tableColumn id="4" xr3:uid="{F0D8CB96-65D3-9741-809C-AA10F0CFBD8C}" name="Difference" dataDxfId="714"/>
    <tableColumn id="5" xr3:uid="{659D889E-87C5-F248-898E-3C6A5EC00494}" name="Statistical Significance of the Difference" dataDxfId="713"/>
  </tableColumns>
  <tableStyleInfo name="TableStyleMedium2" showFirstColumn="1"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E7269370-1609-E343-8099-791D37C44F87}" name="Table_H1_Share_of_all_adults_in_households_using_safely_managed_drinking_water_Percentage_by_functional_difficulty_type" displayName="Table_H1_Share_of_all_adults_in_households_using_safely_managed_drinking_water_Percentage_by_functional_difficulty_type" ref="A78:H94" totalsRowShown="0" headerRowDxfId="2095" dataDxfId="2094">
  <autoFilter ref="A78:H94" xr:uid="{E7269370-1609-E343-8099-791D37C44F87}"/>
  <tableColumns count="8">
    <tableColumn id="1" xr3:uid="{5B326B2E-E67F-404F-8483-19A545EF1012}" name="Region" dataDxfId="2093"/>
    <tableColumn id="2" xr3:uid="{E3567874-0AD6-4343-9107-B5C0A69E939E}" name="No Difficulty" dataDxfId="2092"/>
    <tableColumn id="3" xr3:uid="{A447FA6C-050B-9447-B87D-8DE465543236}" name="Seeing" dataDxfId="2091"/>
    <tableColumn id="4" xr3:uid="{E0250A98-6659-474F-BECC-4F8072CDD789}" name="Hearing" dataDxfId="2090"/>
    <tableColumn id="5" xr3:uid="{42755F54-4045-A94B-BF1E-77840F420E32}" name="Mobility" dataDxfId="2089"/>
    <tableColumn id="6" xr3:uid="{890AAE1F-EEF9-A845-9B22-0A416991F412}" name="Cognition" dataDxfId="2088"/>
    <tableColumn id="7" xr3:uid="{79BF92E1-3D0E-C044-83CB-6E6E81470245}" name="Self-Care" dataDxfId="2087"/>
    <tableColumn id="8" xr3:uid="{E0481F4A-CA9A-AA4A-BC3B-BC505ED623C1}" name="Communication" dataDxfId="2086"/>
  </tableColumns>
  <tableStyleInfo name="TableStyleMedium2" showFirstColumn="1" showLastColumn="0" showRowStripes="1" showColumnStripes="0"/>
</table>
</file>

<file path=xl/tables/table19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9" xr:uid="{FBB3CD00-77B5-6540-B58A-D4E0249AE6FA}" name="Table_S2.6.b_Share_of_adults_age_15_to_44_in_households_with_clean_cooking_fuel_Percentage_disaggregation_b" displayName="Table_S2.6.b_Share_of_adults_age_15_to_44_in_households_with_clean_cooking_fuel_Percentage_disaggregation_b" ref="G97:N113" totalsRowShown="0" headerRowDxfId="712" dataDxfId="711">
  <autoFilter ref="G97:N113" xr:uid="{FBB3CD00-77B5-6540-B58A-D4E0249AE6FA}"/>
  <tableColumns count="8">
    <tableColumn id="1" xr3:uid="{B4BB83C7-4886-564C-A645-20263E9AD864}" name="Region" dataDxfId="710"/>
    <tableColumn id="2" xr3:uid="{EE268E82-D358-E64D-A559-446140D8974F}" name="No difficulty" dataDxfId="709"/>
    <tableColumn id="3" xr3:uid="{FC7F2046-8018-2645-9ADB-C5F479F175B6}" name="Some difficulty" dataDxfId="708"/>
    <tableColumn id="4" xr3:uid="{8D992DE6-1367-704C-8405-52BA09425FFF}" name="Difference" dataDxfId="707"/>
    <tableColumn id="5" xr3:uid="{494A5891-5AEA-4D42-AA42-C4B21FA8E876}" name="Statistical Significance of the Difference" dataDxfId="706"/>
    <tableColumn id="6" xr3:uid="{DBF82B44-2A54-844E-BDBD-11CDF23F3C47}" name="At least a lot of difficulty" dataDxfId="705"/>
    <tableColumn id="7" xr3:uid="{1E4E6CBD-2948-BA43-AC17-C75137986F5B}" name="Difference No difficulty &amp; At least a lot of difficulty" dataDxfId="704"/>
    <tableColumn id="8" xr3:uid="{9ED0E7E2-F914-4F42-A1F1-766ABBC9E0E6}" name="Statistical Significance of the Difference (No difficulty vs At least a lot)" dataDxfId="703"/>
  </tableColumns>
  <tableStyleInfo name="TableStyleMedium2" showFirstColumn="1" showLastColumn="0" showRowStripes="1" showColumnStripes="0"/>
</table>
</file>

<file path=xl/tables/table19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0" xr:uid="{99787B27-E75B-314A-A289-A93A1A5E6BC4}" name="Table_S2.6.c_Share_of_adults_age_15_to_44_in_households_with_clean_cooking_fuel_Percentage_disaggregation_c" displayName="Table_S2.6.c_Share_of_adults_age_15_to_44_in_households_with_clean_cooking_fuel_Percentage_disaggregation_c" ref="P97:T113" totalsRowShown="0" headerRowDxfId="702" dataDxfId="701">
  <autoFilter ref="P97:T113" xr:uid="{99787B27-E75B-314A-A289-A93A1A5E6BC4}"/>
  <tableColumns count="5">
    <tableColumn id="1" xr3:uid="{C913A3DB-DBCA-A748-862C-56FD416E6C9F}" name="Region" dataDxfId="700"/>
    <tableColumn id="2" xr3:uid="{0F469D74-DD67-9741-B692-A3081A6CEC0F}" name="No or some difficulty" dataDxfId="699"/>
    <tableColumn id="3" xr3:uid="{1A5BC8E9-E55B-764A-8DAC-0C8D58BD4351}" name="At least a lot of difficulty" dataDxfId="698"/>
    <tableColumn id="4" xr3:uid="{8472A437-9577-274F-AB9D-4EFEA5B6470D}" name="Difference" dataDxfId="697"/>
    <tableColumn id="5" xr3:uid="{0D855EF3-36D6-9D43-980B-337F8BE33354}" name="Statistical Significance of the Difference" dataDxfId="696"/>
  </tableColumns>
  <tableStyleInfo name="TableStyleMedium2" showFirstColumn="1" showLastColumn="0" showRowStripes="1" showColumnStripes="0"/>
</table>
</file>

<file path=xl/tables/table19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1" xr:uid="{E8F61B0E-A7AB-8A48-A114-7E0F1CC094C6}" name="Table_S2.7.a_Share_of_adults_age_45_and_older_in_households_with_clean_cooking_fuel_Percentage_disaggregation_a" displayName="Table_S2.7.a_Share_of_adults_age_45_and_older_in_households_with_clean_cooking_fuel_Percentage_disaggregation_a" ref="A116:E132" totalsRowShown="0" headerRowDxfId="695" dataDxfId="694">
  <autoFilter ref="A116:E132" xr:uid="{E8F61B0E-A7AB-8A48-A114-7E0F1CC094C6}"/>
  <tableColumns count="5">
    <tableColumn id="1" xr3:uid="{356FC184-78D6-AD4C-B2DD-2337D4A81215}" name="Region" dataDxfId="693"/>
    <tableColumn id="2" xr3:uid="{7481FCEF-58B8-8647-91B0-2F71B6F8047B}" name="No difficulty" dataDxfId="692"/>
    <tableColumn id="3" xr3:uid="{E63A9930-6705-FD41-BCC7-52DFB3C9B037}" name="Any difficulty" dataDxfId="691"/>
    <tableColumn id="4" xr3:uid="{B84C84C6-01C9-EB4C-80B2-167073EFFB22}" name="Difference" dataDxfId="690"/>
    <tableColumn id="5" xr3:uid="{DCCFBA9E-DE25-E744-B0F5-C0DC6BCD32B5}" name="Statistical Significance of the Difference" dataDxfId="689"/>
  </tableColumns>
  <tableStyleInfo name="TableStyleMedium2" showFirstColumn="1" showLastColumn="0" showRowStripes="1" showColumnStripes="0"/>
</table>
</file>

<file path=xl/tables/table19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2" xr:uid="{684F15E7-2694-E24F-A771-8030B2D48CB8}" name="Table_S2.7.b_Share_of_adults_age_45_and_older_in_households_with_clean_cooking_fuel_Percentage_disaggregation_b" displayName="Table_S2.7.b_Share_of_adults_age_45_and_older_in_households_with_clean_cooking_fuel_Percentage_disaggregation_b" ref="G116:N132" totalsRowShown="0" headerRowDxfId="688" dataDxfId="687">
  <autoFilter ref="G116:N132" xr:uid="{684F15E7-2694-E24F-A771-8030B2D48CB8}"/>
  <tableColumns count="8">
    <tableColumn id="1" xr3:uid="{C087EFA2-64B7-B343-9A56-F066A4885A4A}" name="Region" dataDxfId="686"/>
    <tableColumn id="2" xr3:uid="{4EC78BEC-5806-5844-8B39-6502FBD14010}" name="No difficulty" dataDxfId="685"/>
    <tableColumn id="3" xr3:uid="{832AD980-460E-494C-824A-7EA0F357C811}" name="Some difficulty" dataDxfId="684"/>
    <tableColumn id="4" xr3:uid="{83943D9C-0EC0-D142-A847-35ED6E577ECA}" name="Difference" dataDxfId="683"/>
    <tableColumn id="5" xr3:uid="{14303A8A-F658-8248-B2CD-41D826E16DE9}" name="Statistical Significance of the Difference" dataDxfId="682"/>
    <tableColumn id="6" xr3:uid="{9204D5B7-EA75-324E-83D0-28F6834B3A78}" name="At least a lot of difficulty" dataDxfId="681"/>
    <tableColumn id="7" xr3:uid="{A5F2C4E2-941E-034D-AFAF-18FBBF4EF2CC}" name="Difference No difficulty &amp; At least a lot of difficulty" dataDxfId="680"/>
    <tableColumn id="8" xr3:uid="{E1F5545F-0EC2-4A49-836A-77D860744651}" name="Statistical Significance of the Difference (No difficulty vs At least a lot)" dataDxfId="679"/>
  </tableColumns>
  <tableStyleInfo name="TableStyleMedium2" showFirstColumn="1" showLastColumn="0" showRowStripes="1" showColumnStripes="0"/>
</table>
</file>

<file path=xl/tables/table19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3" xr:uid="{8C5ADA2D-49B4-CD41-99BC-BE4B9E4A29F9}" name="Table_S2.7.c_Share_of_adults_age_45_and_older_in_households_with_clean_cooking_fuel_Percentage_disaggregation_c" displayName="Table_S2.7.c_Share_of_adults_age_45_and_older_in_households_with_clean_cooking_fuel_Percentage_disaggregation_c" ref="P116:T132" totalsRowShown="0" headerRowDxfId="678" dataDxfId="677">
  <autoFilter ref="P116:T132" xr:uid="{8C5ADA2D-49B4-CD41-99BC-BE4B9E4A29F9}"/>
  <tableColumns count="5">
    <tableColumn id="1" xr3:uid="{75A8CEE3-D26B-E944-A97F-C4DE59CB9D56}" name="Region" dataDxfId="676"/>
    <tableColumn id="2" xr3:uid="{89F96A9F-BB78-B646-9A63-F6323FB31CFD}" name="No or some difficulty" dataDxfId="675"/>
    <tableColumn id="3" xr3:uid="{0F193ACF-A660-7542-9B54-586E8FCA07DB}" name="At least a lot of difficulty" dataDxfId="674"/>
    <tableColumn id="4" xr3:uid="{DDE91859-D895-A74C-BB17-24898AF3AB0B}" name="Difference" dataDxfId="673"/>
    <tableColumn id="5" xr3:uid="{FEB8172E-80CF-3F40-8093-7B66CDE78164}" name="Statistical Significance of the Difference" dataDxfId="672"/>
  </tableColumns>
  <tableStyleInfo name="TableStyleMedium2" showFirstColumn="1" showLastColumn="0" showRowStripes="1" showColumnStripes="0"/>
</table>
</file>

<file path=xl/tables/table19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4" xr:uid="{9FEE5CF2-6E32-D643-B636-818A9753938D}" name="Table_S3.1.a_Share_of_all_adults_in_households_with_adequate_housing_Percentage_disaggregation_a" displayName="Table_S3.1.a_Share_of_all_adults_in_households_with_adequate_housing_Percentage_disaggregation_a" ref="A2:E18" totalsRowShown="0" headerRowDxfId="671" dataDxfId="670">
  <autoFilter ref="A2:E18" xr:uid="{9FEE5CF2-6E32-D643-B636-818A9753938D}"/>
  <tableColumns count="5">
    <tableColumn id="1" xr3:uid="{2051FD16-4AF7-F447-BFB7-20AA19ADD226}" name="Region" dataDxfId="669"/>
    <tableColumn id="2" xr3:uid="{B05D582C-03F8-DE40-8888-4C9408695F7F}" name="No difficulty" dataDxfId="668"/>
    <tableColumn id="3" xr3:uid="{0B7843F2-5DCA-B042-9BE9-FD5B7BAD4542}" name="Any difficulty" dataDxfId="667"/>
    <tableColumn id="4" xr3:uid="{03A7AAE5-D563-BC46-BF79-BF623E626670}" name="Difference" dataDxfId="666"/>
    <tableColumn id="5" xr3:uid="{1A5D2C90-8EC4-AB43-8923-B1CA639D1E74}" name="Statistical Significance of the Difference" dataDxfId="665"/>
  </tableColumns>
  <tableStyleInfo name="TableStyleMedium2" showFirstColumn="1" showLastColumn="0" showRowStripes="1" showColumnStripes="0"/>
</table>
</file>

<file path=xl/tables/table19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5" xr:uid="{3D6DC5FA-BCC5-984D-B965-D3988022D925}" name="Table_S3.1.b_Share_of_all_adults_in_households_with_adequate_housing_Percentage_disaggregation_b" displayName="Table_S3.1.b_Share_of_all_adults_in_households_with_adequate_housing_Percentage_disaggregation_b" ref="G2:N18" totalsRowShown="0" headerRowDxfId="664" dataDxfId="663">
  <autoFilter ref="G2:N18" xr:uid="{3D6DC5FA-BCC5-984D-B965-D3988022D925}"/>
  <tableColumns count="8">
    <tableColumn id="1" xr3:uid="{FA1248DB-444F-1147-A1B8-8C259CEEC68B}" name="Region" dataDxfId="662"/>
    <tableColumn id="2" xr3:uid="{59C24E3E-1A20-E746-AF05-892EAD4C7E01}" name="No difficulty" dataDxfId="661"/>
    <tableColumn id="3" xr3:uid="{A1662745-F9DB-7443-915B-6A0AB7B57813}" name="Some difficulty" dataDxfId="660"/>
    <tableColumn id="4" xr3:uid="{3C0EBB70-1CB0-464C-961A-283F228B5414}" name="Difference" dataDxfId="659"/>
    <tableColumn id="5" xr3:uid="{469EB929-DBF3-3A49-9618-4C93465C77E0}" name="Statistical Significance of the Difference" dataDxfId="658"/>
    <tableColumn id="6" xr3:uid="{1F3A84B5-2B09-374C-A8EE-7E92941C170F}" name="At least a lot of difficulty" dataDxfId="657"/>
    <tableColumn id="7" xr3:uid="{019F5752-4423-1C45-BFA8-4AA0F9D299B6}" name="Difference No difficulty &amp; At least a lot of difficulty" dataDxfId="656"/>
    <tableColumn id="8" xr3:uid="{27BC9561-E3C5-CB46-A68E-A16075CF3A5C}" name="Statistical Significance of the Difference (No difficulty vs At least a lot)" dataDxfId="655"/>
  </tableColumns>
  <tableStyleInfo name="TableStyleMedium2" showFirstColumn="1" showLastColumn="0" showRowStripes="1" showColumnStripes="0"/>
</table>
</file>

<file path=xl/tables/table19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6" xr:uid="{C1A582D7-5B22-3847-B4F8-6D2DD139C012}" name="Table_S3.1.c_Share_of_all_adults_in_households_with_adequate_housing_Percentage_disaggregation_c" displayName="Table_S3.1.c_Share_of_all_adults_in_households_with_adequate_housing_Percentage_disaggregation_c" ref="P2:T18" totalsRowShown="0" headerRowDxfId="654" dataDxfId="653">
  <autoFilter ref="P2:T18" xr:uid="{C1A582D7-5B22-3847-B4F8-6D2DD139C012}"/>
  <tableColumns count="5">
    <tableColumn id="1" xr3:uid="{9E632D8C-47C3-204A-B77F-0EE654696939}" name="Region" dataDxfId="652"/>
    <tableColumn id="2" xr3:uid="{2F47AA28-85F6-8640-AD0E-E2EFDBA0249D}" name="No or some difficulty" dataDxfId="651"/>
    <tableColumn id="3" xr3:uid="{852AB7EF-CACC-D947-8F3B-296844B5A49F}" name="At least a lot of difficulty" dataDxfId="650"/>
    <tableColumn id="4" xr3:uid="{876C31E6-82AD-DF47-9702-159D66335C71}" name="Difference" dataDxfId="649"/>
    <tableColumn id="5" xr3:uid="{D612CA00-BDF6-A540-B3E9-9B6D737BF147}" name="Statistical Significance of the Difference" dataDxfId="648"/>
  </tableColumns>
  <tableStyleInfo name="TableStyleMedium2" showFirstColumn="1" showLastColumn="0" showRowStripes="1" showColumnStripes="0"/>
</table>
</file>

<file path=xl/tables/table19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7" xr:uid="{AE07388E-61E7-1843-9140-F97CDCEA2F54}" name="Table_S3.2.a_Share_of_females_in_households_with_adequate_housing_Percentage_disaggregation_a" displayName="Table_S3.2.a_Share_of_females_in_households_with_adequate_housing_Percentage_disaggregation_a" ref="A21:E37" totalsRowShown="0" headerRowDxfId="647" dataDxfId="646">
  <autoFilter ref="A21:E37" xr:uid="{AE07388E-61E7-1843-9140-F97CDCEA2F54}"/>
  <tableColumns count="5">
    <tableColumn id="1" xr3:uid="{DFBBD11D-37D7-504C-8CCB-5E7A2F6A94F2}" name="Region" dataDxfId="645"/>
    <tableColumn id="2" xr3:uid="{780B966A-C266-0D4C-B001-9A8D3F8597DC}" name="No difficulty" dataDxfId="644"/>
    <tableColumn id="3" xr3:uid="{77BFD4E5-BF21-DA48-997A-44D80A6947A2}" name="Any difficulty" dataDxfId="643"/>
    <tableColumn id="4" xr3:uid="{9E4C2BB9-825F-8342-9403-E8799A0D0AB6}" name="Difference" dataDxfId="642"/>
    <tableColumn id="5" xr3:uid="{455BFBA1-E815-2A4C-978A-E96D5289FDF8}" name="Statistical Significance of the Difference" dataDxfId="641"/>
  </tableColumns>
  <tableStyleInfo name="TableStyleMedium2" showFirstColumn="1" showLastColumn="0" showRowStripes="1" showColumnStripes="0"/>
</table>
</file>

<file path=xl/tables/table19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8" xr:uid="{E0D1BB16-E154-6D45-8E25-29A867823A76}" name="Table_S3.2.b_Share_of_females_in_households_with_adequate_housing_Percentage_disaggregation_b" displayName="Table_S3.2.b_Share_of_females_in_households_with_adequate_housing_Percentage_disaggregation_b" ref="G21:N37" totalsRowShown="0" headerRowDxfId="640" dataDxfId="639">
  <autoFilter ref="G21:N37" xr:uid="{E0D1BB16-E154-6D45-8E25-29A867823A76}"/>
  <tableColumns count="8">
    <tableColumn id="1" xr3:uid="{23D00068-FF7C-5A44-811C-A21E7A3AC97D}" name="Region" dataDxfId="638"/>
    <tableColumn id="2" xr3:uid="{2C2B5A29-5DE6-234A-961D-8123912EED2A}" name="No difficulty" dataDxfId="637"/>
    <tableColumn id="3" xr3:uid="{769CC2E9-077C-1342-ACEC-B9BB742F4F8C}" name="Some difficulty" dataDxfId="636"/>
    <tableColumn id="4" xr3:uid="{289A05DC-B671-8B4F-9507-A341708E4C05}" name="Difference" dataDxfId="635"/>
    <tableColumn id="5" xr3:uid="{7C6A048C-58FA-5B43-BF7E-C511D4B1182E}" name="Statistical Significance of the Difference" dataDxfId="634"/>
    <tableColumn id="6" xr3:uid="{633FBDCE-19B2-2548-B5DD-B507911019E3}" name="At least a lot of difficulty" dataDxfId="633"/>
    <tableColumn id="7" xr3:uid="{514A59B2-C2CD-7741-BCD5-D9235BF15DD4}" name="Difference No difficulty &amp; At least a lot of difficulty" dataDxfId="632"/>
    <tableColumn id="8" xr3:uid="{66EB910C-CD0D-5940-9F94-FA615415223B}" name="Statistical Significance of the Difference (No difficulty vs At least a lot)" dataDxfId="631"/>
  </tableColumns>
  <tableStyleInfo name="TableStyleMedium2"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93033FA-3230-3B43-B776-4149552724A3}" name="Table_P1.1_Share_of_all_adults_with_functional_difficulties_Percentage" displayName="Table_P1.1_Share_of_all_adults_with_functional_difficulties_Percentage" ref="A2:D18" totalsRowShown="0" headerRowDxfId="2222" dataDxfId="2221">
  <autoFilter ref="A2:D18" xr:uid="{893033FA-3230-3B43-B776-4149552724A3}"/>
  <tableColumns count="4">
    <tableColumn id="1" xr3:uid="{257F2214-9072-1444-833A-6E8EE5AB636D}" name="Region" dataDxfId="2220"/>
    <tableColumn id="2" xr3:uid="{B4622A7F-9725-0A49-AE20-AEDDAA7D1B59}" name="Any difficulty" dataDxfId="2219"/>
    <tableColumn id="3" xr3:uid="{7B8AFFC3-C965-F04D-80D4-825A4F229CEE}" name="Some difficulty" dataDxfId="2218"/>
    <tableColumn id="4" xr3:uid="{08084F4E-97C1-704F-B37A-EF11F4D19F49}" name="At least a lot of difficulty" dataDxfId="2217"/>
  </tableColumns>
  <tableStyleInfo name="TableStyleMedium2" showFirstColumn="1"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6B9DA90E-C04C-6E4A-8BE7-FDA72F1DA673}" name="Table_H2_Share_of_all_adults_in_households_using_safely_managed_sanitation_services_Percentage_by_functional_difficulty_type" displayName="Table_H2_Share_of_all_adults_in_households_using_safely_managed_sanitation_services_Percentage_by_functional_difficulty_type" ref="A97:H113" totalsRowShown="0" headerRowDxfId="2085" dataDxfId="2084">
  <autoFilter ref="A97:H113" xr:uid="{6B9DA90E-C04C-6E4A-8BE7-FDA72F1DA673}"/>
  <tableColumns count="8">
    <tableColumn id="1" xr3:uid="{29D3E6C9-9F8D-7243-A3EE-4776E4DF3926}" name="Region" dataDxfId="2083"/>
    <tableColumn id="2" xr3:uid="{9C6CD545-5530-6B45-B036-DD9950F4384E}" name="No Difficulty" dataDxfId="2082"/>
    <tableColumn id="3" xr3:uid="{F05B8FFD-2816-AF45-BB62-5983C5B6F517}" name="Seeing" dataDxfId="2081"/>
    <tableColumn id="4" xr3:uid="{1BC6DC61-EAF9-0A4C-BC95-1DA4FE418D52}" name="Hearing" dataDxfId="2080"/>
    <tableColumn id="5" xr3:uid="{1B7D124C-1712-7546-9636-AD9CFEFF82BE}" name="Mobility" dataDxfId="2079"/>
    <tableColumn id="6" xr3:uid="{F88C85F5-5E4B-5A4B-B061-0BDD7EB1AE05}" name="Cognition" dataDxfId="2078"/>
    <tableColumn id="7" xr3:uid="{2DF3F5DA-BE18-5C4C-886B-2FAC59F6D487}" name="Self-Care" dataDxfId="2077"/>
    <tableColumn id="8" xr3:uid="{BEBE2F1B-A8C8-AB44-8A0F-91EB83F27826}" name="Communication" dataDxfId="2076"/>
  </tableColumns>
  <tableStyleInfo name="TableStyleMedium2" showFirstColumn="1" showLastColumn="0" showRowStripes="1" showColumnStripes="0"/>
</table>
</file>

<file path=xl/tables/table20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9" xr:uid="{1F127AC4-0CF3-AE44-888F-D206F77141E4}" name="Table_S3.2.c_Share_of_females_in_households_with_adequate_housing_Percentage_disaggregation_c" displayName="Table_S3.2.c_Share_of_females_in_households_with_adequate_housing_Percentage_disaggregation_c" ref="P21:T37" totalsRowShown="0" headerRowDxfId="630" dataDxfId="629">
  <autoFilter ref="P21:T37" xr:uid="{1F127AC4-0CF3-AE44-888F-D206F77141E4}"/>
  <tableColumns count="5">
    <tableColumn id="1" xr3:uid="{B6E094EE-C2A4-3146-B4F7-F8FA64E76281}" name="Region" dataDxfId="628"/>
    <tableColumn id="2" xr3:uid="{62EBED8B-8C80-5442-A318-529EE9237BA3}" name="No or some difficulty" dataDxfId="627"/>
    <tableColumn id="3" xr3:uid="{FCEF6530-3E38-4245-931D-3E072C43698C}" name="At least a lot of difficulty" dataDxfId="626"/>
    <tableColumn id="4" xr3:uid="{3AF44AFA-4BB5-CD44-86C1-480B12021FFD}" name="Difference" dataDxfId="625"/>
    <tableColumn id="5" xr3:uid="{41491715-F187-CB46-88BD-4DEE47488BD4}" name="Statistical Significance of the Difference" dataDxfId="624"/>
  </tableColumns>
  <tableStyleInfo name="TableStyleMedium2" showFirstColumn="1" showLastColumn="0" showRowStripes="1" showColumnStripes="0"/>
</table>
</file>

<file path=xl/tables/table20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0" xr:uid="{AF5E0DB1-188B-394C-95A6-B7D82A7E771E}" name="Table_S3.3.a_Share_of_males_in_households_with_adequate_housing_Percentage_disaggregation_a" displayName="Table_S3.3.a_Share_of_males_in_households_with_adequate_housing_Percentage_disaggregation_a" ref="A40:E56" totalsRowShown="0" headerRowDxfId="623" dataDxfId="622">
  <autoFilter ref="A40:E56" xr:uid="{AF5E0DB1-188B-394C-95A6-B7D82A7E771E}"/>
  <tableColumns count="5">
    <tableColumn id="1" xr3:uid="{A8135365-F95B-A649-A552-56D4CE2C372D}" name="Region" dataDxfId="621"/>
    <tableColumn id="2" xr3:uid="{AEEF6E6F-B785-9F42-9183-4DEF75764998}" name="No difficulty" dataDxfId="620"/>
    <tableColumn id="3" xr3:uid="{96DF6E33-6E73-BB43-82C1-ABC22A383E75}" name="Any difficulty" dataDxfId="619"/>
    <tableColumn id="4" xr3:uid="{654D8DC0-B1F7-2A45-946A-8CA4C1BC70FD}" name="Difference" dataDxfId="618"/>
    <tableColumn id="5" xr3:uid="{7AB21FC7-BA5C-AA4B-B67C-24E02B0A624D}" name="Statistical Significance of the Difference" dataDxfId="617"/>
  </tableColumns>
  <tableStyleInfo name="TableStyleMedium2" showFirstColumn="1" showLastColumn="0" showRowStripes="1" showColumnStripes="0"/>
</table>
</file>

<file path=xl/tables/table20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1" xr:uid="{9CDEF7FC-A77B-D444-A92B-C560724C0BA8}" name="Table_S3.3.b_Share_of_males_in_households_with_adequate_housing_Percentage_disaggregation_b" displayName="Table_S3.3.b_Share_of_males_in_households_with_adequate_housing_Percentage_disaggregation_b" ref="G40:N56" totalsRowShown="0" headerRowDxfId="616" dataDxfId="615">
  <autoFilter ref="G40:N56" xr:uid="{9CDEF7FC-A77B-D444-A92B-C560724C0BA8}"/>
  <tableColumns count="8">
    <tableColumn id="1" xr3:uid="{72E2B148-A849-834F-A8A8-820D8899E1B0}" name="Region" dataDxfId="614"/>
    <tableColumn id="2" xr3:uid="{B84B1D71-F5DD-BB48-A04E-D14247FCB7E2}" name="No difficulty" dataDxfId="613"/>
    <tableColumn id="3" xr3:uid="{D35F8746-8A80-1140-A4A9-730E3F6358AB}" name="Some difficulty" dataDxfId="612"/>
    <tableColumn id="4" xr3:uid="{8E768DA9-2442-DB41-BBD1-BDCC78398BE0}" name="Difference" dataDxfId="611"/>
    <tableColumn id="5" xr3:uid="{5A9FDFBC-CD99-3842-8341-C598893FA1AB}" name="Statistical Significance of the Difference" dataDxfId="610"/>
    <tableColumn id="6" xr3:uid="{17A93CD4-7620-944D-A189-F88495DEDBB1}" name="At least a lot of difficulty" dataDxfId="609"/>
    <tableColumn id="7" xr3:uid="{C791CCB2-ED03-EE45-853F-9951B77D5DB2}" name="Difference No difficulty &amp; At least a lot of difficulty" dataDxfId="608"/>
    <tableColumn id="8" xr3:uid="{B5CDA89B-712C-5246-BB14-DCE07CBA159A}" name="Statistical Significance of the Difference (No difficulty vs At least a lot)" dataDxfId="607"/>
  </tableColumns>
  <tableStyleInfo name="TableStyleMedium2" showFirstColumn="1" showLastColumn="0" showRowStripes="1" showColumnStripes="0"/>
</table>
</file>

<file path=xl/tables/table20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2" xr:uid="{D9130B58-C259-314B-9F52-27DB4482CB61}" name="Table_S3.3.c_Share_of_males_in_households_with_adequate_housing_Percentage_disaggregation_c" displayName="Table_S3.3.c_Share_of_males_in_households_with_adequate_housing_Percentage_disaggregation_c" ref="P40:T56" totalsRowShown="0" headerRowDxfId="606" dataDxfId="605">
  <autoFilter ref="P40:T56" xr:uid="{D9130B58-C259-314B-9F52-27DB4482CB61}"/>
  <tableColumns count="5">
    <tableColumn id="1" xr3:uid="{FD5FF5C7-F007-6F4C-BDBE-5F5F020C799E}" name="Region" dataDxfId="604"/>
    <tableColumn id="2" xr3:uid="{A6A8AF11-D9B6-7D41-A2A4-E2F8A9E09F17}" name="No or some difficulty" dataDxfId="603"/>
    <tableColumn id="3" xr3:uid="{DAF116A8-413F-1748-B105-A47BA2B0045C}" name="At least a lot of difficulty" dataDxfId="602"/>
    <tableColumn id="4" xr3:uid="{37E4BD7E-95AA-C945-93D2-34AED3F20C00}" name="Difference" dataDxfId="601"/>
    <tableColumn id="5" xr3:uid="{92440DE6-CFB9-014D-8A90-36D3A0DD2B7A}" name="Statistical Significance of the Difference" dataDxfId="600"/>
  </tableColumns>
  <tableStyleInfo name="TableStyleMedium2" showFirstColumn="1" showLastColumn="0" showRowStripes="1" showColumnStripes="0"/>
</table>
</file>

<file path=xl/tables/table20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3" xr:uid="{B3C813D0-D01C-D147-A663-76B6F4FFB1FA}" name="Table_S3.4.a_Share_of_rural_residents_in_households_with_adequate_housing_Percentage_disaggregation_a" displayName="Table_S3.4.a_Share_of_rural_residents_in_households_with_adequate_housing_Percentage_disaggregation_a" ref="A59:E75" totalsRowShown="0" headerRowDxfId="599" dataDxfId="598">
  <autoFilter ref="A59:E75" xr:uid="{B3C813D0-D01C-D147-A663-76B6F4FFB1FA}"/>
  <tableColumns count="5">
    <tableColumn id="1" xr3:uid="{AF5495BF-6718-4B40-8DEB-5E3A8F16002B}" name="Region" dataDxfId="597"/>
    <tableColumn id="2" xr3:uid="{34768E80-5C02-224F-BE15-923818F75648}" name="No difficulty" dataDxfId="596"/>
    <tableColumn id="3" xr3:uid="{96699E64-F466-B943-9795-0E580866C870}" name="Any difficulty" dataDxfId="595"/>
    <tableColumn id="4" xr3:uid="{86C841DF-63E8-B946-BB72-915FEF1E8C38}" name="Difference" dataDxfId="594"/>
    <tableColumn id="5" xr3:uid="{2D159C3B-A817-744C-869A-B9232B06AD62}" name="Statistical Significance of the Difference" dataDxfId="593"/>
  </tableColumns>
  <tableStyleInfo name="TableStyleMedium2" showFirstColumn="1" showLastColumn="0" showRowStripes="1" showColumnStripes="0"/>
</table>
</file>

<file path=xl/tables/table20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4" xr:uid="{3A6EED07-0E56-4942-A7A8-1A27DBAA213C}" name="Table_S3.4.b_Share_of_rural_residents_in_households_with_adequate_housing_Percentage_disaggregation_b" displayName="Table_S3.4.b_Share_of_rural_residents_in_households_with_adequate_housing_Percentage_disaggregation_b" ref="G59:N75" totalsRowShown="0" headerRowDxfId="592" dataDxfId="591">
  <autoFilter ref="G59:N75" xr:uid="{3A6EED07-0E56-4942-A7A8-1A27DBAA213C}"/>
  <tableColumns count="8">
    <tableColumn id="1" xr3:uid="{C84FD0CD-7DE2-4F4C-9C91-86252F99C851}" name="Region" dataDxfId="590"/>
    <tableColumn id="2" xr3:uid="{D9DC64F5-1E07-7B47-B0AC-2844FC7AB774}" name="No difficulty" dataDxfId="589"/>
    <tableColumn id="3" xr3:uid="{61F2BD29-16DD-7745-B590-F1D5DB7EFA6B}" name="Some difficulty" dataDxfId="588"/>
    <tableColumn id="4" xr3:uid="{08E16628-B4E3-F142-894E-1E2471BDCD6D}" name="Difference" dataDxfId="587"/>
    <tableColumn id="5" xr3:uid="{DAC7C373-65D4-184E-B2E5-B2D0D896AF41}" name="Statistical Significance of the Difference" dataDxfId="586"/>
    <tableColumn id="6" xr3:uid="{DB8F3D8B-D97F-BF46-9F54-A83901F602DC}" name="At least a lot of difficulty" dataDxfId="585"/>
    <tableColumn id="7" xr3:uid="{FB859ED5-DEDC-0343-99FB-3D6341CAE292}" name="Difference No difficulty &amp; At least a lot of difficulty" dataDxfId="584"/>
    <tableColumn id="8" xr3:uid="{E0483D33-E2EB-9447-9112-1ECE2F26FEEB}" name="Statistical Significance of the Difference (No difficulty vs At least a lot)" dataDxfId="583"/>
  </tableColumns>
  <tableStyleInfo name="TableStyleMedium2" showFirstColumn="1" showLastColumn="0" showRowStripes="1" showColumnStripes="0"/>
</table>
</file>

<file path=xl/tables/table20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5" xr:uid="{134B3066-38A7-FC47-9D22-9841EF577B77}" name="Table_S3.4.c_Share_of_rural_residents_in_households_with_adequate_housing_Percentage_disaggregation_c" displayName="Table_S3.4.c_Share_of_rural_residents_in_households_with_adequate_housing_Percentage_disaggregation_c" ref="P59:T75" totalsRowShown="0" headerRowDxfId="582" dataDxfId="581">
  <autoFilter ref="P59:T75" xr:uid="{134B3066-38A7-FC47-9D22-9841EF577B77}"/>
  <tableColumns count="5">
    <tableColumn id="1" xr3:uid="{EC2B8511-BA00-4342-96CD-FF1C4FC206AC}" name="Region" dataDxfId="580"/>
    <tableColumn id="2" xr3:uid="{8DFF8B27-0C9D-E846-A760-38C750C4D943}" name="No or some difficulty" dataDxfId="579"/>
    <tableColumn id="3" xr3:uid="{7BA2B727-1A0D-1C42-8CA4-1CC2A2018EE5}" name="At least a lot of difficulty" dataDxfId="578"/>
    <tableColumn id="4" xr3:uid="{D34B1DB1-9C0A-9B44-9612-D52EBE2902FF}" name="Difference" dataDxfId="577"/>
    <tableColumn id="5" xr3:uid="{BC351DFB-968B-A349-9C17-6F579AFE00E9}" name="Statistical Significance of the Difference" dataDxfId="576"/>
  </tableColumns>
  <tableStyleInfo name="TableStyleMedium2" showFirstColumn="1" showLastColumn="0" showRowStripes="1" showColumnStripes="0"/>
</table>
</file>

<file path=xl/tables/table20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6" xr:uid="{532D5B0A-05DC-F040-9525-BAA76D94CDC4}" name="Table_S3.5.a_Share_of_urban_residents_in_households_with_adequate_housing_Percentage_disaggregation_a" displayName="Table_S3.5.a_Share_of_urban_residents_in_households_with_adequate_housing_Percentage_disaggregation_a" ref="A78:E94" totalsRowShown="0" headerRowDxfId="575" dataDxfId="574">
  <autoFilter ref="A78:E94" xr:uid="{532D5B0A-05DC-F040-9525-BAA76D94CDC4}"/>
  <tableColumns count="5">
    <tableColumn id="1" xr3:uid="{E5D637BB-44C3-4A48-9514-1DECB02E393B}" name="Region" dataDxfId="573"/>
    <tableColumn id="2" xr3:uid="{283B5F20-A27E-814B-9CF2-3A4E1732DDF4}" name="No difficulty" dataDxfId="572"/>
    <tableColumn id="3" xr3:uid="{36386D63-8326-3B4E-988E-2A028CCD6A3D}" name="Any difficulty" dataDxfId="571"/>
    <tableColumn id="4" xr3:uid="{37B11BBE-9B4D-7D43-AF4F-6A83484E0EB7}" name="Difference" dataDxfId="570"/>
    <tableColumn id="5" xr3:uid="{734D12B6-BBC2-974A-88F1-1D62077C354A}" name="Statistical Significance of the Difference" dataDxfId="569"/>
  </tableColumns>
  <tableStyleInfo name="TableStyleMedium2" showFirstColumn="1" showLastColumn="0" showRowStripes="1" showColumnStripes="0"/>
</table>
</file>

<file path=xl/tables/table20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7" xr:uid="{5B928BC5-2E2A-F94E-8819-C58EE180CF6C}" name="Table_S3.5.b_Share_of_urban_residents_in_households_with_adequate_housing_Percentage_disaggregation_b" displayName="Table_S3.5.b_Share_of_urban_residents_in_households_with_adequate_housing_Percentage_disaggregation_b" ref="G78:N94" totalsRowShown="0" headerRowDxfId="568" dataDxfId="567">
  <autoFilter ref="G78:N94" xr:uid="{5B928BC5-2E2A-F94E-8819-C58EE180CF6C}"/>
  <tableColumns count="8">
    <tableColumn id="1" xr3:uid="{CAC37106-47F1-F648-9263-C5F664923D8D}" name="Region" dataDxfId="566"/>
    <tableColumn id="2" xr3:uid="{15DC64EE-522F-E747-B0A0-575019707C7D}" name="No difficulty" dataDxfId="565"/>
    <tableColumn id="3" xr3:uid="{99E3386A-7765-3249-A116-1F94A398B8C6}" name="Some difficulty" dataDxfId="564"/>
    <tableColumn id="4" xr3:uid="{C037A843-23D2-954A-9280-5B3E2F8DB56B}" name="Difference" dataDxfId="563"/>
    <tableColumn id="5" xr3:uid="{75BAEFE8-EDD7-9742-B8A3-47947FDA9772}" name="Statistical Significance of the Difference" dataDxfId="562"/>
    <tableColumn id="6" xr3:uid="{F29D6ECD-612B-5248-B63F-5D93D575D6BC}" name="At least a lot of difficulty" dataDxfId="561"/>
    <tableColumn id="7" xr3:uid="{5545C14F-9B56-A548-B619-62BBBF61DA2C}" name="Difference No difficulty &amp; At least a lot of difficulty" dataDxfId="560"/>
    <tableColumn id="8" xr3:uid="{0C3DE207-692B-DF48-BEF5-97F278C7F9FC}" name="Statistical Significance of the Difference (No difficulty vs At least a lot)" dataDxfId="559"/>
  </tableColumns>
  <tableStyleInfo name="TableStyleMedium2" showFirstColumn="1" showLastColumn="0" showRowStripes="1" showColumnStripes="0"/>
</table>
</file>

<file path=xl/tables/table20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8" xr:uid="{E70A3C30-5D1F-2248-8DDB-C7F4A431316F}" name="Table_S3.5.c_Share_of_urban_residents_in_households_with_adequate_housing_Percentage_disaggregation_c" displayName="Table_S3.5.c_Share_of_urban_residents_in_households_with_adequate_housing_Percentage_disaggregation_c" ref="P78:T94" totalsRowShown="0" headerRowDxfId="558" dataDxfId="557">
  <autoFilter ref="P78:T94" xr:uid="{E70A3C30-5D1F-2248-8DDB-C7F4A431316F}"/>
  <tableColumns count="5">
    <tableColumn id="1" xr3:uid="{A2BB75F2-43BD-B340-A3C8-EFBA82DA4020}" name="Region" dataDxfId="556"/>
    <tableColumn id="2" xr3:uid="{2F0FF7C4-7953-B14B-8007-F06E056B9905}" name="No or some difficulty" dataDxfId="555"/>
    <tableColumn id="3" xr3:uid="{D86B579D-7C66-4D4C-8810-4AB77ACAAB11}" name="At least a lot of difficulty" dataDxfId="554"/>
    <tableColumn id="4" xr3:uid="{7AF0CB34-2570-4A4A-B93F-9BEE390CD88E}" name="Difference" dataDxfId="553"/>
    <tableColumn id="5" xr3:uid="{542AA57F-A38E-DF4D-9E86-938CD6B32C7B}" name="Statistical Significance of the Difference" dataDxfId="552"/>
  </tableColumns>
  <tableStyleInfo name="TableStyleMedium2" showFirstColumn="1"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50A71052-DF02-6645-AC8C-8490E95449C5}" name="Table_S1_Share_of_all_adults_in_households_with_electricity_Percentage_by_functional_difficulty_type" displayName="Table_S1_Share_of_all_adults_in_households_with_electricity_Percentage_by_functional_difficulty_type" ref="A116:H132" totalsRowShown="0" headerRowDxfId="2075" dataDxfId="2074">
  <autoFilter ref="A116:H132" xr:uid="{50A71052-DF02-6645-AC8C-8490E95449C5}"/>
  <tableColumns count="8">
    <tableColumn id="1" xr3:uid="{032D22DB-D189-6D4C-9ABA-D2961CA0830C}" name="Region" dataDxfId="2073"/>
    <tableColumn id="2" xr3:uid="{95F7A5CA-998F-7448-B48B-F500FC7638B2}" name="No Difficulty" dataDxfId="2072"/>
    <tableColumn id="3" xr3:uid="{11D59BE8-BD1F-D544-B9C4-0196152FFC55}" name="Seeing" dataDxfId="2071"/>
    <tableColumn id="4" xr3:uid="{94D3F98B-1A62-D541-BFF8-884CCECB583C}" name="Hearing" dataDxfId="2070"/>
    <tableColumn id="5" xr3:uid="{91E47F35-70CB-974F-BEAB-06F01E6FDC3A}" name="Mobility" dataDxfId="2069"/>
    <tableColumn id="6" xr3:uid="{83D66B81-E435-6E44-8B31-590E2ABE8607}" name="Cognition" dataDxfId="2068"/>
    <tableColumn id="7" xr3:uid="{DEB40DA3-0450-AC49-BFA4-502F386940DE}" name="Self-Care" dataDxfId="2067"/>
    <tableColumn id="8" xr3:uid="{42167A88-8B83-454C-8259-BE0F4123B028}" name="Communication" dataDxfId="2066"/>
  </tableColumns>
  <tableStyleInfo name="TableStyleMedium2" showFirstColumn="1" showLastColumn="0" showRowStripes="1" showColumnStripes="0"/>
</table>
</file>

<file path=xl/tables/table2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9" xr:uid="{0068CCA9-D28E-8946-9E13-AA7E9C0F88FC}" name="Table_S3.6.a_Share_of_adults_age_15_to_44__in_households_with_adequate_housing_Percentage_disaggregation_a" displayName="Table_S3.6.a_Share_of_adults_age_15_to_44__in_households_with_adequate_housing_Percentage_disaggregation_a" ref="A97:E113" totalsRowShown="0" headerRowDxfId="551" dataDxfId="550">
  <autoFilter ref="A97:E113" xr:uid="{0068CCA9-D28E-8946-9E13-AA7E9C0F88FC}"/>
  <tableColumns count="5">
    <tableColumn id="1" xr3:uid="{28ABDAD3-08A4-DD4B-9217-4C887FA14423}" name="Region" dataDxfId="549"/>
    <tableColumn id="2" xr3:uid="{E764E768-1431-9840-9FE1-1095BF7A15D1}" name="No difficulty" dataDxfId="548"/>
    <tableColumn id="3" xr3:uid="{BD7395A7-4715-AE40-A56F-9B895A340E51}" name="Any difficulty" dataDxfId="547"/>
    <tableColumn id="4" xr3:uid="{DC88B5C8-0963-CA43-A00A-8C702C297FC4}" name="Difference" dataDxfId="546"/>
    <tableColumn id="5" xr3:uid="{13A1AB09-706D-A84C-BC58-1F5FF195783A}" name="Statistical Significance of the Difference" dataDxfId="545"/>
  </tableColumns>
  <tableStyleInfo name="TableStyleMedium2" showFirstColumn="1" showLastColumn="0" showRowStripes="1" showColumnStripes="0"/>
</table>
</file>

<file path=xl/tables/table2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0" xr:uid="{7CA7E40F-5FD8-744A-B204-7FCE448DB870}" name="Table_S3.6.b_Share_of_adults_age_15_to_44__in_households_with_adequate_housing_Percentage_disaggregation_b" displayName="Table_S3.6.b_Share_of_adults_age_15_to_44__in_households_with_adequate_housing_Percentage_disaggregation_b" ref="G97:N113" totalsRowShown="0" headerRowDxfId="544" dataDxfId="543">
  <autoFilter ref="G97:N113" xr:uid="{7CA7E40F-5FD8-744A-B204-7FCE448DB870}"/>
  <tableColumns count="8">
    <tableColumn id="1" xr3:uid="{DE9B811A-8ACB-8B4A-91A7-3CF8C429CC67}" name="Region" dataDxfId="542"/>
    <tableColumn id="2" xr3:uid="{9B8996BD-BF20-574D-B749-0C304D960282}" name="No difficulty" dataDxfId="541"/>
    <tableColumn id="3" xr3:uid="{A4D0BB4B-6BBE-9145-95C0-87CDC70F8135}" name="Some difficulty" dataDxfId="540"/>
    <tableColumn id="4" xr3:uid="{C7A6664D-6536-2E4E-AEE3-525E9345576C}" name="Difference" dataDxfId="539"/>
    <tableColumn id="5" xr3:uid="{D7DFB6C5-6D06-E944-B2C7-ADEDFF700298}" name="Statistical Significance of the Difference" dataDxfId="538"/>
    <tableColumn id="6" xr3:uid="{32ACAC73-F119-024A-AF92-A33A252C545F}" name="At least a lot of difficulty" dataDxfId="537"/>
    <tableColumn id="7" xr3:uid="{FAD2486A-3464-364E-90A0-5D2C6F8B4E39}" name="Difference No difficulty &amp; At least a lot of difficulty" dataDxfId="536"/>
    <tableColumn id="8" xr3:uid="{B1BCAD83-9D2C-734E-B3FF-101BA8A8B042}" name="Statistical Significance of the Difference (No difficulty vs At least a lot)" dataDxfId="535"/>
  </tableColumns>
  <tableStyleInfo name="TableStyleMedium2" showFirstColumn="1" showLastColumn="0" showRowStripes="1" showColumnStripes="0"/>
</table>
</file>

<file path=xl/tables/table2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1" xr:uid="{EF630759-689C-F54C-AA6F-8B2E873FFE08}" name="Table_S3.6.c_Share_of_adults_age_15_to_44__in_households_with_adequate_housing_Percentage_disaggregation_c" displayName="Table_S3.6.c_Share_of_adults_age_15_to_44__in_households_with_adequate_housing_Percentage_disaggregation_c" ref="P97:T113" totalsRowShown="0" headerRowDxfId="534" dataDxfId="533">
  <autoFilter ref="P97:T113" xr:uid="{EF630759-689C-F54C-AA6F-8B2E873FFE08}"/>
  <tableColumns count="5">
    <tableColumn id="1" xr3:uid="{AC988404-D600-8243-BF9B-B8C7FB808275}" name="Region" dataDxfId="532"/>
    <tableColumn id="2" xr3:uid="{484911A0-66BC-5047-8313-A73F39BC4BFF}" name="No or some difficulty" dataDxfId="531"/>
    <tableColumn id="3" xr3:uid="{DB778621-F51D-6244-9833-77E5F0CF3B29}" name="At least a lot of difficulty" dataDxfId="530"/>
    <tableColumn id="4" xr3:uid="{C4CCE879-6D5F-6C46-A151-B12770B4F0D3}" name="Difference" dataDxfId="529"/>
    <tableColumn id="5" xr3:uid="{8A9E12C6-4CF5-4741-91DB-FB7CC58717FF}" name="Statistical Significance of the Difference" dataDxfId="528"/>
  </tableColumns>
  <tableStyleInfo name="TableStyleMedium2" showFirstColumn="1" showLastColumn="0" showRowStripes="1" showColumnStripes="0"/>
</table>
</file>

<file path=xl/tables/table2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2" xr:uid="{19EA5763-B4DB-6A40-BD30-09E38CB23E2F}" name="Table_S3.7.a_Share_of_adults_age_45_and_older_in_households_with_adequate_housing_Percentage_disaggregation_a" displayName="Table_S3.7.a_Share_of_adults_age_45_and_older_in_households_with_adequate_housing_Percentage_disaggregation_a" ref="A116:E132" totalsRowShown="0" headerRowDxfId="527" dataDxfId="526">
  <autoFilter ref="A116:E132" xr:uid="{19EA5763-B4DB-6A40-BD30-09E38CB23E2F}"/>
  <tableColumns count="5">
    <tableColumn id="1" xr3:uid="{C9EE4633-0F03-E945-98F9-6272EFB6F4FC}" name="Region" dataDxfId="525"/>
    <tableColumn id="2" xr3:uid="{B052A78F-009A-8943-AA26-E28D38716981}" name="No difficulty" dataDxfId="524"/>
    <tableColumn id="3" xr3:uid="{E21D49B5-B4C4-E34A-9671-954063D4B563}" name="Any difficulty" dataDxfId="523"/>
    <tableColumn id="4" xr3:uid="{9DB92B66-F1C4-974B-B5F4-B80D3FFAC7F5}" name="Difference" dataDxfId="522"/>
    <tableColumn id="5" xr3:uid="{67E14C34-16F6-D849-860C-AB96ADF317DA}" name="Statistical Significance of the Difference" dataDxfId="521"/>
  </tableColumns>
  <tableStyleInfo name="TableStyleMedium2" showFirstColumn="1" showLastColumn="0" showRowStripes="1" showColumnStripes="0"/>
</table>
</file>

<file path=xl/tables/table2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3" xr:uid="{C178B532-9B58-FC4C-8A39-D369C4711560}" name="Table_S3.7.b_Share_of_adults_age_45_and_older_in_households_with_adequate_housing_Percentage_disaggregation_b" displayName="Table_S3.7.b_Share_of_adults_age_45_and_older_in_households_with_adequate_housing_Percentage_disaggregation_b" ref="G116:N132" totalsRowShown="0" headerRowDxfId="520" dataDxfId="519">
  <autoFilter ref="G116:N132" xr:uid="{C178B532-9B58-FC4C-8A39-D369C4711560}"/>
  <tableColumns count="8">
    <tableColumn id="1" xr3:uid="{B39B4DEB-F13D-3D46-A3FB-694B3AC20BAC}" name="Region" dataDxfId="518"/>
    <tableColumn id="2" xr3:uid="{07FD42E8-8AF9-FA4A-9C0F-1B75C9A8B96C}" name="No difficulty" dataDxfId="517"/>
    <tableColumn id="3" xr3:uid="{F21DBD28-6EB7-FE48-8597-4A77EA1DD2C9}" name="Some difficulty" dataDxfId="516"/>
    <tableColumn id="4" xr3:uid="{4A889829-2029-B044-831C-A7E27A4FAAA3}" name="Difference" dataDxfId="515"/>
    <tableColumn id="5" xr3:uid="{2D242781-0B0C-9447-809C-4F21143D9B85}" name="Statistical Significance of the Difference" dataDxfId="514"/>
    <tableColumn id="6" xr3:uid="{87424953-F966-D141-9465-E15E5D1062DA}" name="At least a lot of difficulty" dataDxfId="513"/>
    <tableColumn id="7" xr3:uid="{690C3279-4D60-A64F-881B-BC74483712AB}" name="Difference No difficulty &amp; At least a lot of difficulty" dataDxfId="512"/>
    <tableColumn id="8" xr3:uid="{7FACC116-E0DF-7F47-BFC1-85C2888A9F23}" name="Statistical Significance of the Difference (No difficulty vs At least a lot)" dataDxfId="511"/>
  </tableColumns>
  <tableStyleInfo name="TableStyleMedium2" showFirstColumn="1" showLastColumn="0" showRowStripes="1" showColumnStripes="0"/>
</table>
</file>

<file path=xl/tables/table2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4" xr:uid="{D6980CE9-1A84-C84E-B340-E2691028D2D1}" name="Table_S3.7.c_Share_of_adults_age_45_and_older_in_households_with_adequate_housing_Percentage_disaggregation_c" displayName="Table_S3.7.c_Share_of_adults_age_45_and_older_in_households_with_adequate_housing_Percentage_disaggregation_c" ref="P116:T132" totalsRowShown="0" headerRowDxfId="510" dataDxfId="509">
  <autoFilter ref="P116:T132" xr:uid="{D6980CE9-1A84-C84E-B340-E2691028D2D1}"/>
  <tableColumns count="5">
    <tableColumn id="1" xr3:uid="{EEAE9071-1BEF-2B47-A37F-3BE2BD6EE3D1}" name="Region" dataDxfId="508"/>
    <tableColumn id="2" xr3:uid="{B8CE54EF-B535-9A40-BBEE-CE6DE909F92B}" name="No or some difficulty" dataDxfId="507"/>
    <tableColumn id="3" xr3:uid="{30AD95CB-B650-034B-A8C5-7CF79FF9447A}" name="At least a lot of difficulty" dataDxfId="506"/>
    <tableColumn id="4" xr3:uid="{AAB13718-62DC-E44A-9715-AA48E4B6718B}" name="Difference" dataDxfId="505"/>
    <tableColumn id="5" xr3:uid="{368FCA82-1E6E-DC4D-B27A-451F5D756266}" name="Statistical Significance of the Difference" dataDxfId="504"/>
  </tableColumns>
  <tableStyleInfo name="TableStyleMedium2" showFirstColumn="1" showLastColumn="0" showRowStripes="1" showColumnStripes="0"/>
</table>
</file>

<file path=xl/tables/table2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5" xr:uid="{72F8A391-9A9F-4948-8561-0F2E165AAE36}" name="Table_S4.1.a_Share_of_all_adults_in_households_owning_assets_Percentage_disaggregation_a" displayName="Table_S4.1.a_Share_of_all_adults_in_households_owning_assets_Percentage_disaggregation_a" ref="A2:E18" totalsRowShown="0" headerRowDxfId="503" dataDxfId="502">
  <autoFilter ref="A2:E18" xr:uid="{72F8A391-9A9F-4948-8561-0F2E165AAE36}"/>
  <tableColumns count="5">
    <tableColumn id="1" xr3:uid="{D2DB284F-7DD9-B54F-B28D-B8E96B69FE4D}" name="Region" dataDxfId="501"/>
    <tableColumn id="2" xr3:uid="{E518D5CD-8081-4242-8203-FF312D29FF02}" name="No difficulty" dataDxfId="500"/>
    <tableColumn id="3" xr3:uid="{0A57E4C4-D455-DF42-B7FA-ABB290861DF9}" name="Any difficulty" dataDxfId="499"/>
    <tableColumn id="4" xr3:uid="{D04572B5-8AFB-FB4E-B110-56E21F505A7F}" name="Difference" dataDxfId="498"/>
    <tableColumn id="5" xr3:uid="{11BA88F1-DD75-F441-AE47-3F615AF6C915}" name="Statistical Significance of the Difference" dataDxfId="497">
      <calculatedColumnFormula>IF(       0&lt;0.01,"***",IF(       0&lt;0.05,"**",IF(       0&lt;0.1,"*","NS")))</calculatedColumnFormula>
    </tableColumn>
  </tableColumns>
  <tableStyleInfo name="TableStyleMedium2" showFirstColumn="1" showLastColumn="0" showRowStripes="1" showColumnStripes="0"/>
</table>
</file>

<file path=xl/tables/table2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6" xr:uid="{BB69B9D4-D5F0-7B45-972C-4B5E9921C712}" name="Table_S4.1.b_Share_of_all_adults_in_households_owning_assets_Percentage_disaggregation_b" displayName="Table_S4.1.b_Share_of_all_adults_in_households_owning_assets_Percentage_disaggregation_b" ref="G2:N18" totalsRowShown="0" headerRowDxfId="496" dataDxfId="495">
  <autoFilter ref="G2:N18" xr:uid="{BB69B9D4-D5F0-7B45-972C-4B5E9921C712}"/>
  <tableColumns count="8">
    <tableColumn id="1" xr3:uid="{F8CFFA94-739E-B04D-A850-9B232237A06E}" name="Region" dataDxfId="494"/>
    <tableColumn id="2" xr3:uid="{8C654640-B5DD-6945-B2C0-02FC3160F0D7}" name="No difficulty" dataDxfId="493"/>
    <tableColumn id="3" xr3:uid="{B4CA25A0-9F03-C14A-A7E2-DA84E35C589C}" name="Some difficulty" dataDxfId="492"/>
    <tableColumn id="4" xr3:uid="{9EB2DB11-0603-E048-BC60-640707DA45B0}" name="Difference" dataDxfId="491"/>
    <tableColumn id="5" xr3:uid="{C95A5CD0-57B5-F141-AF60-B590496402BE}" name="Statistical Significance of the Difference" dataDxfId="490">
      <calculatedColumnFormula>IF(       0&lt;0.01,"***",IF(       0&lt;0.05,"**",IF(       0&lt;0.1,"*","NS")))</calculatedColumnFormula>
    </tableColumn>
    <tableColumn id="6" xr3:uid="{C70F5AED-07BC-8D49-88F9-0D3269E9DCD3}" name="At least a lot of difficulty" dataDxfId="489"/>
    <tableColumn id="7" xr3:uid="{CF5A3CC3-D813-774C-9FB0-A89CB76CB1BA}" name="Difference No difficulty &amp; At least a lot of difficulty" dataDxfId="488"/>
    <tableColumn id="8" xr3:uid="{724C7D96-053B-234B-B705-9569D397DFEF}" name="Statistical Significance of the Difference (No difficulty vs At least a lot)" dataDxfId="487">
      <calculatedColumnFormula>IF(       0&lt;0.01,"***",IF(       0&lt;0.05,"**",IF(       0&lt;0.1,"*","NS")))</calculatedColumnFormula>
    </tableColumn>
  </tableColumns>
  <tableStyleInfo name="TableStyleMedium2" showFirstColumn="1" showLastColumn="0" showRowStripes="1" showColumnStripes="0"/>
</table>
</file>

<file path=xl/tables/table2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7" xr:uid="{7C4A5ADE-F369-654C-994D-DB4B04FA4BE5}" name="Table_S4.1.c_Share_of_all_adults_in_households_owning_assets_Percentage_disaggregation_c" displayName="Table_S4.1.c_Share_of_all_adults_in_households_owning_assets_Percentage_disaggregation_c" ref="P2:T18" totalsRowShown="0" headerRowDxfId="486" dataDxfId="485">
  <autoFilter ref="P2:T18" xr:uid="{7C4A5ADE-F369-654C-994D-DB4B04FA4BE5}"/>
  <tableColumns count="5">
    <tableColumn id="1" xr3:uid="{96B27554-9DA2-8D43-8540-F4A328FBE23E}" name="Region" dataDxfId="484"/>
    <tableColumn id="2" xr3:uid="{C7233120-0D32-AB40-BBF1-1ADF3F2F637C}" name="No or some difficulty" dataDxfId="483"/>
    <tableColumn id="3" xr3:uid="{3BE1952D-BCD3-A048-9BFA-9E5A4AFBF18C}" name="At least a lot of difficulty" dataDxfId="482"/>
    <tableColumn id="4" xr3:uid="{63E68438-AF9A-F84A-AB2B-9F6C2E626E04}" name="Difference" dataDxfId="481"/>
    <tableColumn id="5" xr3:uid="{E175BB73-A97E-CC41-B5A4-991ED44378BE}" name="Statistical Significance of the Difference" dataDxfId="480">
      <calculatedColumnFormula>IF(       0&lt;0.01,"***",IF(       0&lt;0.05,"**",IF(       0&lt;0.1,"*","NS")))</calculatedColumnFormula>
    </tableColumn>
  </tableColumns>
  <tableStyleInfo name="TableStyleMedium2" showFirstColumn="1" showLastColumn="0" showRowStripes="1" showColumnStripes="0"/>
</table>
</file>

<file path=xl/tables/table2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8" xr:uid="{45A04050-7C69-A141-BEB5-D7324B69ADB6}" name="Table_S4.2.a_Share_of_females_in_households_owning_assets_Percentage_disaggregation_a" displayName="Table_S4.2.a_Share_of_females_in_households_owning_assets_Percentage_disaggregation_a" ref="A21:E37" totalsRowShown="0" headerRowDxfId="479" dataDxfId="478">
  <autoFilter ref="A21:E37" xr:uid="{45A04050-7C69-A141-BEB5-D7324B69ADB6}"/>
  <tableColumns count="5">
    <tableColumn id="1" xr3:uid="{05314F07-4D11-F540-8E37-330E64628FDB}" name="Region" dataDxfId="477"/>
    <tableColumn id="2" xr3:uid="{F7DDCE3E-9EBD-B24A-9CA3-7113AF2F6445}" name="No difficulty" dataDxfId="476"/>
    <tableColumn id="3" xr3:uid="{CA2EF94C-9A31-6949-98A6-177D91D69CFD}" name="Any difficulty" dataDxfId="475"/>
    <tableColumn id="4" xr3:uid="{1ED91E69-E675-E64F-B024-763A422B1066}" name="Difference" dataDxfId="474"/>
    <tableColumn id="5" xr3:uid="{8180640A-A341-B24E-9154-A139FF7D0E4C}" name="Statistical Significance of the Difference" dataDxfId="473"/>
  </tableColumns>
  <tableStyleInfo name="TableStyleMedium2" showFirstColumn="1"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273E1739-56FC-0E44-95AB-E94382FB5D11}" name="Table_S2_Share_of_all_adults_in_households_with_clean_cooking_fuel_Percentage_by_functional_difficulty_type" displayName="Table_S2_Share_of_all_adults_in_households_with_clean_cooking_fuel_Percentage_by_functional_difficulty_type" ref="A135:H151" totalsRowShown="0" headerRowDxfId="2065" dataDxfId="2064">
  <autoFilter ref="A135:H151" xr:uid="{273E1739-56FC-0E44-95AB-E94382FB5D11}"/>
  <tableColumns count="8">
    <tableColumn id="1" xr3:uid="{A337F664-F377-A942-8E61-11376A2CBFAC}" name="Region" dataDxfId="2063"/>
    <tableColumn id="2" xr3:uid="{D403BD11-6ACA-3E48-A270-4FC72C459B15}" name="No Difficulty" dataDxfId="2062"/>
    <tableColumn id="3" xr3:uid="{2EF17471-9A1A-3548-8DBC-B102A3B099DB}" name="Seeing" dataDxfId="2061"/>
    <tableColumn id="4" xr3:uid="{421F1DB8-6441-7A4B-97C3-568D8657348F}" name="Hearing" dataDxfId="2060"/>
    <tableColumn id="5" xr3:uid="{E5AA64A3-0A3B-FB49-AE74-DB227DCEBD0F}" name="Mobility" dataDxfId="2059"/>
    <tableColumn id="6" xr3:uid="{4D7F1CF7-331A-2F46-9B7E-4FAD2C48A837}" name="Cognition" dataDxfId="2058"/>
    <tableColumn id="7" xr3:uid="{33CA7BEA-9388-954E-B02D-F5FD56F25B9B}" name="Self-Care" dataDxfId="2057"/>
    <tableColumn id="8" xr3:uid="{7D61F109-B77E-C644-9340-22F5F36E3282}" name="Communication" dataDxfId="2056"/>
  </tableColumns>
  <tableStyleInfo name="TableStyleMedium2" showFirstColumn="1" showLastColumn="0" showRowStripes="1" showColumnStripes="0"/>
</table>
</file>

<file path=xl/tables/table2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9" xr:uid="{57799D46-AF16-7F4F-8E74-653A91F7C62E}" name="Table_S4.2.b_Share_of_females_in_households_owning_assets_Percentage_disaggregation_b" displayName="Table_S4.2.b_Share_of_females_in_households_owning_assets_Percentage_disaggregation_b" ref="G21:N37" totalsRowShown="0" headerRowDxfId="472" dataDxfId="471">
  <autoFilter ref="G21:N37" xr:uid="{57799D46-AF16-7F4F-8E74-653A91F7C62E}"/>
  <tableColumns count="8">
    <tableColumn id="1" xr3:uid="{B3E481E2-37DE-7A4B-A29C-DA12702027FB}" name="Region" dataDxfId="470"/>
    <tableColumn id="2" xr3:uid="{0781A33A-7648-2E4E-913C-DFA830EFCAAF}" name="No difficulty" dataDxfId="469"/>
    <tableColumn id="3" xr3:uid="{052D264E-30C6-7348-AF67-E078C10514D1}" name="Some difficulty" dataDxfId="468"/>
    <tableColumn id="4" xr3:uid="{6A1E2371-9544-7048-AC5E-4E2A0E62662D}" name="Difference" dataDxfId="467"/>
    <tableColumn id="5" xr3:uid="{1D7730B1-6095-B340-8EFF-7745E8E6636C}" name="Statistical Significance of the Difference" dataDxfId="466">
      <calculatedColumnFormula>IF(       0&lt;0.01,"***",IF(       0&lt;0.05,"**",IF(       0&lt;0.1,"*","NS")))</calculatedColumnFormula>
    </tableColumn>
    <tableColumn id="6" xr3:uid="{638FBF9E-0CFB-7E41-B458-939A4592FA28}" name="At least a lot of difficulty" dataDxfId="465"/>
    <tableColumn id="7" xr3:uid="{100C08DD-CFAF-9C40-B15A-5EFD4DE2B50D}" name="Difference No difficulty &amp; At least a lot of difficulty" dataDxfId="464"/>
    <tableColumn id="8" xr3:uid="{D6C51DC2-70B0-3D42-BD3C-A887FAA98A52}" name="Statistical Significance of the Difference (No difficulty vs At least a lot)" dataDxfId="463"/>
  </tableColumns>
  <tableStyleInfo name="TableStyleMedium2" showFirstColumn="1" showLastColumn="0" showRowStripes="1" showColumnStripes="0"/>
</table>
</file>

<file path=xl/tables/table2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0" xr:uid="{E7110FB8-B617-3F45-A3AA-DDB2D669AAE1}" name="Table_S4.2.c_Share_of_females_in_households_owning_assets_Percentage_disaggregation_c" displayName="Table_S4.2.c_Share_of_females_in_households_owning_assets_Percentage_disaggregation_c" ref="P21:T37" totalsRowShown="0" headerRowDxfId="462" dataDxfId="461">
  <autoFilter ref="P21:T37" xr:uid="{E7110FB8-B617-3F45-A3AA-DDB2D669AAE1}"/>
  <tableColumns count="5">
    <tableColumn id="1" xr3:uid="{AFCA4FB9-6F9E-D749-BF09-415650184021}" name="Region" dataDxfId="460"/>
    <tableColumn id="2" xr3:uid="{8F43DE00-6D1D-CD4E-B8E7-87DEC2535701}" name="No or some difficulty" dataDxfId="459"/>
    <tableColumn id="3" xr3:uid="{A8995728-4B27-9744-A7F6-3720AB8E52D7}" name="At least a lot of difficulty" dataDxfId="458"/>
    <tableColumn id="4" xr3:uid="{1690971D-91A5-2647-8E5A-1D4ECE82A835}" name="Difference" dataDxfId="457"/>
    <tableColumn id="5" xr3:uid="{173DD725-21F3-C64D-B02D-D8C4C5415969}" name="Statistical Significance of the Difference" dataDxfId="456"/>
  </tableColumns>
  <tableStyleInfo name="TableStyleMedium2" showFirstColumn="1" showLastColumn="0" showRowStripes="1" showColumnStripes="0"/>
</table>
</file>

<file path=xl/tables/table2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1" xr:uid="{17892414-87A7-E040-A229-57A219047011}" name="Table_S4.3.a_Share_of_males_in_households_owning_assets_Percentage_disaggregation_a" displayName="Table_S4.3.a_Share_of_males_in_households_owning_assets_Percentage_disaggregation_a" ref="A40:E56" totalsRowShown="0" headerRowDxfId="455" dataDxfId="454">
  <autoFilter ref="A40:E56" xr:uid="{17892414-87A7-E040-A229-57A219047011}"/>
  <tableColumns count="5">
    <tableColumn id="1" xr3:uid="{75C84460-D554-1545-85EF-4EC1759FD462}" name="Region" dataDxfId="453"/>
    <tableColumn id="2" xr3:uid="{64ADFB7F-D43E-9D4A-9990-BB986CC41623}" name="No difficulty" dataDxfId="452"/>
    <tableColumn id="3" xr3:uid="{D367DA58-BB71-144B-936F-D6E0B82257F6}" name="Any difficulty" dataDxfId="451"/>
    <tableColumn id="4" xr3:uid="{3FF4825C-15F4-BD43-9F92-BFD3236B0F04}" name="Difference" dataDxfId="450"/>
    <tableColumn id="5" xr3:uid="{E868D0A9-8F08-424B-932E-48890CBF2808}" name="Statistical Significance of the Difference" dataDxfId="449"/>
  </tableColumns>
  <tableStyleInfo name="TableStyleMedium2" showFirstColumn="1" showLastColumn="0" showRowStripes="1" showColumnStripes="0"/>
</table>
</file>

<file path=xl/tables/table2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2" xr:uid="{5D62451E-5522-C34F-9647-E88B372DD5BF}" name="Table_S4.3.b_Share_of_males_in_households_owning_assets_Percentage_disaggregation_b" displayName="Table_S4.3.b_Share_of_males_in_households_owning_assets_Percentage_disaggregation_b" ref="G40:N56" totalsRowShown="0" headerRowDxfId="448" dataDxfId="447">
  <autoFilter ref="G40:N56" xr:uid="{5D62451E-5522-C34F-9647-E88B372DD5BF}"/>
  <tableColumns count="8">
    <tableColumn id="1" xr3:uid="{6BB22C5D-C0CE-954B-BDD4-C6B6D48931E0}" name="Region" dataDxfId="446"/>
    <tableColumn id="2" xr3:uid="{E59F16A9-C625-0643-A490-C8913CCEDEB9}" name="No difficulty" dataDxfId="445"/>
    <tableColumn id="3" xr3:uid="{ECED3851-B669-9C4F-A53F-CE64E5CDAE5F}" name="Some difficulty" dataDxfId="444"/>
    <tableColumn id="4" xr3:uid="{9CD5694A-C0F0-3C43-9CB6-AE71466C34ED}" name="Difference" dataDxfId="443"/>
    <tableColumn id="5" xr3:uid="{1A89CFCE-538D-1343-B8D6-A236225F145B}" name="Statistical Significance of the Difference" dataDxfId="442"/>
    <tableColumn id="6" xr3:uid="{87FBBB79-C66B-654D-B01E-0718FAC93B8F}" name="At least a lot of difficulty" dataDxfId="441"/>
    <tableColumn id="7" xr3:uid="{568D16BD-23C4-144F-8A26-831552D03D75}" name="Difference No difficulty &amp; At least a lot of difficulty" dataDxfId="440"/>
    <tableColumn id="8" xr3:uid="{F43CF48E-28B7-8B4F-B470-D333DB6FDD94}" name="Statistical Significance of the Difference (No difficulty vs At least a lot)" dataDxfId="439"/>
  </tableColumns>
  <tableStyleInfo name="TableStyleMedium2" showFirstColumn="1" showLastColumn="0" showRowStripes="1" showColumnStripes="0"/>
</table>
</file>

<file path=xl/tables/table2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3" xr:uid="{CD1F6A79-9990-B34F-8A03-B8CC74572D78}" name="Table_S4.3.c_Share_of_males_in_households_owning_assets_Percentage_disaggregation_c" displayName="Table_S4.3.c_Share_of_males_in_households_owning_assets_Percentage_disaggregation_c" ref="P40:T56" totalsRowShown="0" headerRowDxfId="438" dataDxfId="437">
  <autoFilter ref="P40:T56" xr:uid="{CD1F6A79-9990-B34F-8A03-B8CC74572D78}"/>
  <tableColumns count="5">
    <tableColumn id="1" xr3:uid="{107B6308-B805-4E48-8D28-6B6F8FA28821}" name="Region" dataDxfId="436"/>
    <tableColumn id="2" xr3:uid="{C26E776A-A71E-F04A-9B19-AF599E342E8E}" name="No or some difficulty" dataDxfId="435"/>
    <tableColumn id="3" xr3:uid="{80935BD9-AB5C-CF4B-B2D1-B9FF3DC873A8}" name="At least a lot of difficulty" dataDxfId="434"/>
    <tableColumn id="4" xr3:uid="{D5FF85D3-2448-5148-BAFD-4B5E67D9EC20}" name="Difference" dataDxfId="433"/>
    <tableColumn id="5" xr3:uid="{978602BD-2484-B245-B383-12A6E4C5B590}" name="Statistical Significance of the Difference" dataDxfId="432"/>
  </tableColumns>
  <tableStyleInfo name="TableStyleMedium2" showFirstColumn="1" showLastColumn="0" showRowStripes="1" showColumnStripes="0"/>
</table>
</file>

<file path=xl/tables/table2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4" xr:uid="{A5617260-136F-244B-A728-03B27EE980A2}" name="Table_S4.4.a_Share_of_rural_residents_in_households_owning_assets_Percentage_disaggregation_a" displayName="Table_S4.4.a_Share_of_rural_residents_in_households_owning_assets_Percentage_disaggregation_a" ref="A59:E75" totalsRowShown="0" headerRowDxfId="431" dataDxfId="430">
  <autoFilter ref="A59:E75" xr:uid="{A5617260-136F-244B-A728-03B27EE980A2}"/>
  <tableColumns count="5">
    <tableColumn id="1" xr3:uid="{14BC1A2B-F1B9-FC41-8145-8CD2A8DF3115}" name="Region" dataDxfId="429"/>
    <tableColumn id="2" xr3:uid="{E33613AB-54F9-004F-B729-DA0881BDF5A3}" name="No difficulty" dataDxfId="428"/>
    <tableColumn id="3" xr3:uid="{DAB7CE41-7E62-194D-A02F-11255081CD6D}" name="Any difficulty" dataDxfId="427"/>
    <tableColumn id="4" xr3:uid="{DD18FC3D-DC35-094F-8602-DE9CFC9B28A4}" name="Difference" dataDxfId="426"/>
    <tableColumn id="5" xr3:uid="{0411C547-9CAD-1A4D-BE5B-2EEDAD28B84D}" name="Statistical Significance of the Difference" dataDxfId="425"/>
  </tableColumns>
  <tableStyleInfo name="TableStyleMedium2" showFirstColumn="1" showLastColumn="0" showRowStripes="1" showColumnStripes="0"/>
</table>
</file>

<file path=xl/tables/table2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5" xr:uid="{748B1FB9-86F3-9D4A-9A9E-48F164A02B51}" name="Table_S4.4.b_Share_of_rural_residents_in_households_owning_assets_Percentage_disaggregation_b" displayName="Table_S4.4.b_Share_of_rural_residents_in_households_owning_assets_Percentage_disaggregation_b" ref="G59:N75" totalsRowShown="0" headerRowDxfId="424" dataDxfId="423">
  <autoFilter ref="G59:N75" xr:uid="{748B1FB9-86F3-9D4A-9A9E-48F164A02B51}"/>
  <tableColumns count="8">
    <tableColumn id="1" xr3:uid="{A32A63E4-4070-6B4E-88C6-11F9E991B4A2}" name="Region" dataDxfId="422"/>
    <tableColumn id="2" xr3:uid="{E94BDE79-ECBE-F04B-AF18-48DBB45F1E27}" name="No difficulty" dataDxfId="421"/>
    <tableColumn id="3" xr3:uid="{73BD3B31-3085-9143-8D4E-D684FF278CE7}" name="Some difficulty" dataDxfId="420"/>
    <tableColumn id="4" xr3:uid="{209BC0B2-86E1-9C42-A36C-FEF794D8D6A3}" name="Difference" dataDxfId="419"/>
    <tableColumn id="5" xr3:uid="{60AC5FB2-B51A-4F45-8E36-5E431775E888}" name="Statistical Significance of the Difference" dataDxfId="418"/>
    <tableColumn id="6" xr3:uid="{A2A96338-9FA8-7D4A-9EF7-EAC4898ED7EF}" name="At least a lot of difficulty" dataDxfId="417"/>
    <tableColumn id="7" xr3:uid="{A6A8E9F4-7852-F44C-8FDA-CE47FEDB8069}" name="Difference No difficulty &amp; At least a lot of difficulty" dataDxfId="416"/>
    <tableColumn id="8" xr3:uid="{FA2692D1-88BD-4547-A1AA-200DBA4768F7}" name="Statistical Significance of the Difference (No difficulty vs At least a lot)" dataDxfId="415"/>
  </tableColumns>
  <tableStyleInfo name="TableStyleMedium2" showFirstColumn="1" showLastColumn="0" showRowStripes="1" showColumnStripes="0"/>
</table>
</file>

<file path=xl/tables/table2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6" xr:uid="{7D81A2FB-571D-D94A-B388-1267CD4317DF}" name="Table_S4.4.c_Share_of_rural_residents_in_households_owning_assets_Percentage_disaggregation_c" displayName="Table_S4.4.c_Share_of_rural_residents_in_households_owning_assets_Percentage_disaggregation_c" ref="P59:T75" totalsRowShown="0" headerRowDxfId="414" dataDxfId="413">
  <autoFilter ref="P59:T75" xr:uid="{7D81A2FB-571D-D94A-B388-1267CD4317DF}"/>
  <tableColumns count="5">
    <tableColumn id="1" xr3:uid="{54C8FA4B-8319-2C4C-8381-53FD975D058C}" name="Region" dataDxfId="412"/>
    <tableColumn id="2" xr3:uid="{296B430F-E404-9841-83A7-1784C80FD612}" name="No or some difficulty" dataDxfId="411"/>
    <tableColumn id="3" xr3:uid="{7449C688-6163-6E42-ADC0-884407D80510}" name="At least a lot of difficulty" dataDxfId="410"/>
    <tableColumn id="4" xr3:uid="{26EE8F76-99FD-B841-8BC7-FA722822F425}" name="Difference" dataDxfId="409"/>
    <tableColumn id="5" xr3:uid="{94D62E3C-D9F4-4945-B743-066C9A34EE76}" name="Statistical Significance of the Difference" dataDxfId="408"/>
  </tableColumns>
  <tableStyleInfo name="TableStyleMedium2" showFirstColumn="1" showLastColumn="0" showRowStripes="1" showColumnStripes="0"/>
</table>
</file>

<file path=xl/tables/table2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7" xr:uid="{61046602-53E2-A048-9175-038478BB470A}" name="Table_S4.5.a_Share_of_urban_residents_in_households_owning_assets_Percentage_disaggregation_a" displayName="Table_S4.5.a_Share_of_urban_residents_in_households_owning_assets_Percentage_disaggregation_a" ref="A78:E94" totalsRowShown="0" headerRowDxfId="407" dataDxfId="406">
  <autoFilter ref="A78:E94" xr:uid="{61046602-53E2-A048-9175-038478BB470A}"/>
  <tableColumns count="5">
    <tableColumn id="1" xr3:uid="{48680590-43C4-9C47-B76F-1B8BD29F5452}" name="Region" dataDxfId="405"/>
    <tableColumn id="2" xr3:uid="{29853D96-A007-924A-98F9-3F228B7C394B}" name="No difficulty" dataDxfId="404"/>
    <tableColumn id="3" xr3:uid="{96A1F937-00B6-0641-B624-9BF81ACD1757}" name="Any difficulty" dataDxfId="403"/>
    <tableColumn id="4" xr3:uid="{A58BFC3D-C7B0-0D49-B6FE-E6F0FABD23D4}" name="Difference" dataDxfId="402"/>
    <tableColumn id="5" xr3:uid="{888746F5-4B20-394F-AF9F-EA4648A26C97}" name="Statistical Significance of the Difference" dataDxfId="401"/>
  </tableColumns>
  <tableStyleInfo name="TableStyleMedium2" showFirstColumn="1" showLastColumn="0" showRowStripes="1" showColumnStripes="0"/>
</table>
</file>

<file path=xl/tables/table2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8" xr:uid="{A6A11C2E-0AFD-8248-87A2-82DE8047728D}" name="Table_S4.5.b_Share_of_urban_residents_in_households_owning_assets_Percentage_disaggregation_b" displayName="Table_S4.5.b_Share_of_urban_residents_in_households_owning_assets_Percentage_disaggregation_b" ref="G78:N94" totalsRowShown="0" headerRowDxfId="400" dataDxfId="399">
  <autoFilter ref="G78:N94" xr:uid="{A6A11C2E-0AFD-8248-87A2-82DE8047728D}"/>
  <tableColumns count="8">
    <tableColumn id="1" xr3:uid="{7B153987-DEDB-2749-95B4-9B761A646692}" name="Region" dataDxfId="398"/>
    <tableColumn id="2" xr3:uid="{2E709889-AE5C-5240-8446-F61D7EF3BF7A}" name="No difficulty" dataDxfId="397"/>
    <tableColumn id="3" xr3:uid="{339D8572-E9C1-7644-B8BB-2CAA10876C6C}" name="Some difficulty" dataDxfId="396"/>
    <tableColumn id="4" xr3:uid="{6477A134-95DE-CC49-820C-C9A1DED11D8F}" name="Difference" dataDxfId="395"/>
    <tableColumn id="5" xr3:uid="{8976D3A6-DB6A-9540-8302-8DB42C8BB45F}" name="Statistical Significance of the Difference" dataDxfId="394"/>
    <tableColumn id="6" xr3:uid="{7E6A85AE-9E25-B94A-9D75-0C7C2257A62E}" name="At least a lot of difficulty" dataDxfId="393"/>
    <tableColumn id="7" xr3:uid="{BFE8828B-7BFF-0243-9DA6-341AA643800D}" name="Difference No difficulty &amp; At least a lot of difficulty" dataDxfId="392"/>
    <tableColumn id="8" xr3:uid="{495D9AA6-7058-C046-86F2-F0F755BD83B0}" name="Statistical Significance of the Difference (No difficulty vs At least a lot)" dataDxfId="391"/>
  </tableColumns>
  <tableStyleInfo name="TableStyleMedium2" showFirstColumn="1"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EDA87BC1-DEC8-A244-9B11-A370A804C8BB}" name="Table_S3_Share_of_all_adults_in_households_with_adequate_housing_Percentage_by_functional_difficulty_type" displayName="Table_S3_Share_of_all_adults_in_households_with_adequate_housing_Percentage_by_functional_difficulty_type" ref="A154:H170" totalsRowShown="0" headerRowDxfId="2055" dataDxfId="2054">
  <autoFilter ref="A154:H170" xr:uid="{EDA87BC1-DEC8-A244-9B11-A370A804C8BB}"/>
  <tableColumns count="8">
    <tableColumn id="1" xr3:uid="{3756F2D1-7FE8-ED43-A9BB-46495B9EE7D2}" name="Region" dataDxfId="2053"/>
    <tableColumn id="2" xr3:uid="{D822E7FD-F466-9A4C-87F8-8D90DC35C23A}" name="No Difficulty" dataDxfId="2052"/>
    <tableColumn id="3" xr3:uid="{D2029A7F-F40C-464F-961B-9B9CCF96AA76}" name="Seeing" dataDxfId="2051"/>
    <tableColumn id="4" xr3:uid="{E83053A7-C8DF-7F4D-B5DD-0BDC05377BF1}" name="Hearing" dataDxfId="2050"/>
    <tableColumn id="5" xr3:uid="{AF6F5370-C435-4D49-9DD4-D854D379D3DB}" name="Mobility" dataDxfId="2049"/>
    <tableColumn id="6" xr3:uid="{D330AC28-7E52-5A40-A748-815BB0C2864B}" name="Cognition" dataDxfId="2048"/>
    <tableColumn id="7" xr3:uid="{7768EDF8-860E-1A42-9BFD-65573D30B6D2}" name="Self-Care" dataDxfId="2047"/>
    <tableColumn id="8" xr3:uid="{10AF53A2-6613-6043-BB5F-5CC2072EB293}" name="Communication" dataDxfId="2046"/>
  </tableColumns>
  <tableStyleInfo name="TableStyleMedium2" showFirstColumn="1" showLastColumn="0" showRowStripes="1" showColumnStripes="0"/>
</table>
</file>

<file path=xl/tables/table2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9" xr:uid="{C67B1185-781B-9A42-A440-092168CC1BF3}" name="Table_S4.5.c_Share_of_urban_residents_in_households_owning_assets_Percentage_disaggregation_c" displayName="Table_S4.5.c_Share_of_urban_residents_in_households_owning_assets_Percentage_disaggregation_c" ref="P78:T94" totalsRowShown="0" headerRowDxfId="390" dataDxfId="389">
  <autoFilter ref="P78:T94" xr:uid="{C67B1185-781B-9A42-A440-092168CC1BF3}"/>
  <tableColumns count="5">
    <tableColumn id="1" xr3:uid="{5119B2EA-2553-2143-8863-58DD10CAA344}" name="Region" dataDxfId="388"/>
    <tableColumn id="2" xr3:uid="{0014320B-321B-6C47-9DE9-96866F40CF45}" name="No or some difficulty" dataDxfId="387"/>
    <tableColumn id="3" xr3:uid="{039EE7A4-2271-8649-90A8-C4D83CF6FA6F}" name="At least a lot of difficulty" dataDxfId="386"/>
    <tableColumn id="4" xr3:uid="{E430EC41-0BF1-C34D-A281-53ABF0B3D906}" name="Difference" dataDxfId="385"/>
    <tableColumn id="5" xr3:uid="{3382B3D6-A133-4141-B3B5-1E39397D5869}" name="Statistical Significance of the Difference" dataDxfId="384"/>
  </tableColumns>
  <tableStyleInfo name="TableStyleMedium2" showFirstColumn="1" showLastColumn="0" showRowStripes="1" showColumnStripes="0"/>
</table>
</file>

<file path=xl/tables/table2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0" xr:uid="{A57EB92F-52AE-B54B-ABF8-1CE94277FDC4}" name="Table_S4.6.a_Share_of_adults_age_15_to_44_in_households_owning_assets_Percentage_disaggregation_a" displayName="Table_S4.6.a_Share_of_adults_age_15_to_44_in_households_owning_assets_Percentage_disaggregation_a" ref="A97:E113" totalsRowShown="0" headerRowDxfId="383" dataDxfId="382">
  <autoFilter ref="A97:E113" xr:uid="{A57EB92F-52AE-B54B-ABF8-1CE94277FDC4}"/>
  <tableColumns count="5">
    <tableColumn id="1" xr3:uid="{0339C3BF-8A62-D247-A3B7-A4822F7A1849}" name="Region" dataDxfId="381"/>
    <tableColumn id="2" xr3:uid="{046892AC-76C4-A04A-9582-529FAFC67F07}" name="No difficulty" dataDxfId="380"/>
    <tableColumn id="3" xr3:uid="{467245CD-E88F-2B4A-B34A-C489CF6B4E12}" name="Any difficulty" dataDxfId="379"/>
    <tableColumn id="4" xr3:uid="{56E80F48-4C7D-2F44-B6D6-CD2C4986E1CB}" name="Difference" dataDxfId="378"/>
    <tableColumn id="5" xr3:uid="{022B8817-A134-7E4E-A30D-ABE1A56BD7FC}" name="Statistical Significance of the Difference" dataDxfId="377"/>
  </tableColumns>
  <tableStyleInfo name="TableStyleMedium2" showFirstColumn="1" showLastColumn="0" showRowStripes="1" showColumnStripes="0"/>
</table>
</file>

<file path=xl/tables/table2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1" xr:uid="{625B7116-0B25-1F43-BB08-AD4E6D943EAC}" name="Table_S4.6.b_Share_of_adults_age_15_to_44_in_households_owning_assets_Percentage_disaggregation_b" displayName="Table_S4.6.b_Share_of_adults_age_15_to_44_in_households_owning_assets_Percentage_disaggregation_b" ref="G97:N113" totalsRowShown="0" headerRowDxfId="376" dataDxfId="375">
  <autoFilter ref="G97:N113" xr:uid="{625B7116-0B25-1F43-BB08-AD4E6D943EAC}"/>
  <tableColumns count="8">
    <tableColumn id="1" xr3:uid="{E712D0A6-6120-484D-851F-E7222DC1FA79}" name="Region" dataDxfId="374"/>
    <tableColumn id="2" xr3:uid="{54A7FCAF-D107-1F4C-AF05-E8A512D9E7E3}" name="No difficulty" dataDxfId="373"/>
    <tableColumn id="3" xr3:uid="{61E23BE6-F7ED-4D4E-BF4F-7B9D1FE36245}" name="Some difficulty" dataDxfId="372"/>
    <tableColumn id="4" xr3:uid="{EE652054-F1CC-C64D-A7E6-02B7EAF9258B}" name="Difference" dataDxfId="371"/>
    <tableColumn id="5" xr3:uid="{CBD2C9E5-0D44-B749-8254-5F335D87F91C}" name="Statistical Significance of the Difference" dataDxfId="370"/>
    <tableColumn id="6" xr3:uid="{032C3C80-7299-6B4C-BF6D-64391C114EB9}" name="At least a lot of difficulty" dataDxfId="369"/>
    <tableColumn id="7" xr3:uid="{7BF6FB05-D570-9941-8A3F-333E60E7FF84}" name="Difference No difficulty &amp; At least a lot of difficulty" dataDxfId="368"/>
    <tableColumn id="8" xr3:uid="{FDF63741-4F18-AA49-8729-4D3AD394C53B}" name="Statistical Significance of the Difference (No difficulty vs At least a lot)" dataDxfId="367"/>
  </tableColumns>
  <tableStyleInfo name="TableStyleMedium2" showFirstColumn="1" showLastColumn="0" showRowStripes="1" showColumnStripes="0"/>
</table>
</file>

<file path=xl/tables/table2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2" xr:uid="{E1191E95-4F65-1D4C-842A-9DED36A5A475}" name="Table_S4.6.c_Share_of_adults_age_15_to_44_in_households_owning_assets_Percentage_disaggregation_c" displayName="Table_S4.6.c_Share_of_adults_age_15_to_44_in_households_owning_assets_Percentage_disaggregation_c" ref="P97:T113" totalsRowShown="0" headerRowDxfId="366" dataDxfId="365">
  <autoFilter ref="P97:T113" xr:uid="{E1191E95-4F65-1D4C-842A-9DED36A5A475}"/>
  <tableColumns count="5">
    <tableColumn id="1" xr3:uid="{B0359642-DAA8-B449-834F-09FB8A8933F5}" name="Region" dataDxfId="364"/>
    <tableColumn id="2" xr3:uid="{C1DEB568-27CD-084D-BBA0-8B88D69C6536}" name="No or some difficulty" dataDxfId="363"/>
    <tableColumn id="3" xr3:uid="{E6499EDA-DDD0-D845-9435-9CBFB2DFD3BB}" name="At least a lot of difficulty" dataDxfId="362"/>
    <tableColumn id="4" xr3:uid="{23085AC7-F0A5-154B-809E-9C068217D22D}" name="Difference" dataDxfId="361"/>
    <tableColumn id="5" xr3:uid="{53B0AAA7-DC44-3945-8D34-7AB9E76829DA}" name="Statistical Significance of the Difference" dataDxfId="360"/>
  </tableColumns>
  <tableStyleInfo name="TableStyleMedium2" showFirstColumn="1" showLastColumn="0" showRowStripes="1" showColumnStripes="0"/>
</table>
</file>

<file path=xl/tables/table2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3" xr:uid="{CE5F2115-0DD0-604F-838E-CA9A7A3A1D30}" name="Table_S4.7.a_Share_of_adults_age_45_and_older_in_households_owning_assets_Percentage_disaggregation_a" displayName="Table_S4.7.a_Share_of_adults_age_45_and_older_in_households_owning_assets_Percentage_disaggregation_a" ref="A116:E132" totalsRowShown="0" headerRowDxfId="359" dataDxfId="358">
  <autoFilter ref="A116:E132" xr:uid="{CE5F2115-0DD0-604F-838E-CA9A7A3A1D30}"/>
  <tableColumns count="5">
    <tableColumn id="1" xr3:uid="{CFC15F15-5153-0D46-A9CB-AC06FB0B0F21}" name="Region" dataDxfId="357"/>
    <tableColumn id="2" xr3:uid="{B4E11123-B4AA-F045-ABA8-C92E8E22DD6D}" name="No difficulty" dataDxfId="356"/>
    <tableColumn id="3" xr3:uid="{B974FF9F-13DE-AE4B-B3B2-F00E195DAE05}" name="Any difficulty" dataDxfId="355"/>
    <tableColumn id="4" xr3:uid="{400DF102-01D2-0045-9F5A-61AF3DD09CE6}" name="Difference" dataDxfId="354"/>
    <tableColumn id="5" xr3:uid="{1E7D81E7-04B0-054E-BDAF-2A42FCBC3ACB}" name="Statistical Significance of the Difference" dataDxfId="353"/>
  </tableColumns>
  <tableStyleInfo name="TableStyleMedium2" showFirstColumn="1" showLastColumn="0" showRowStripes="1" showColumnStripes="0"/>
</table>
</file>

<file path=xl/tables/table2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4" xr:uid="{87B153F2-9AB8-C341-9104-2F0A11535C93}" name="Table_S4.7.b_Share_of_adults_age_45_and_older_in_households_owning_assets_Percentage_disaggregation_b" displayName="Table_S4.7.b_Share_of_adults_age_45_and_older_in_households_owning_assets_Percentage_disaggregation_b" ref="G116:N132" totalsRowShown="0" headerRowDxfId="352" dataDxfId="351">
  <autoFilter ref="G116:N132" xr:uid="{87B153F2-9AB8-C341-9104-2F0A11535C93}"/>
  <tableColumns count="8">
    <tableColumn id="1" xr3:uid="{D72D4581-DC59-6B4F-9700-18C2E3A918AC}" name="Region" dataDxfId="350"/>
    <tableColumn id="2" xr3:uid="{30AC406B-19CD-B74E-927E-C00AD9E2C315}" name="No difficulty" dataDxfId="349"/>
    <tableColumn id="3" xr3:uid="{17C5B8A0-089C-664F-9B66-3C761F53F949}" name="Some difficulty" dataDxfId="348"/>
    <tableColumn id="4" xr3:uid="{DB62E6C1-5EE2-A942-8464-C4F5B6DD4A6A}" name="Difference" dataDxfId="347"/>
    <tableColumn id="5" xr3:uid="{5D3A9E1F-329F-0947-90A2-A179E9397CAD}" name="Statistical Significance of the Difference" dataDxfId="346"/>
    <tableColumn id="6" xr3:uid="{9BE9476F-CC44-A148-A949-235E5F9F6F60}" name="At least a lot of difficulty" dataDxfId="345"/>
    <tableColumn id="7" xr3:uid="{DDC4E401-9F28-334F-81F2-9B4765FF368C}" name="Difference No difficulty &amp; At least a lot of difficulty" dataDxfId="344"/>
    <tableColumn id="8" xr3:uid="{0FECB934-9DD4-1E43-9A7B-5E8642646A80}" name="Statistical Significance of the Difference (No difficulty vs At least a lot)" dataDxfId="343">
      <calculatedColumnFormula>IF(       0&lt;0.01,"***",IF(       0&lt;0.05,"**",IF(       0&lt;0.1,"*","NS")))</calculatedColumnFormula>
    </tableColumn>
  </tableColumns>
  <tableStyleInfo name="TableStyleMedium2" showFirstColumn="1" showLastColumn="0" showRowStripes="1" showColumnStripes="0"/>
</table>
</file>

<file path=xl/tables/table2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5" xr:uid="{FACF5982-99BD-C343-9EDC-209733FBEFE6}" name="Table_S4.7.c_Share_of_adults_age_45_and_older_in_households_owning_assets_Percentage_disaggregation_c" displayName="Table_S4.7.c_Share_of_adults_age_45_and_older_in_households_owning_assets_Percentage_disaggregation_c" ref="P116:T132" totalsRowShown="0" headerRowDxfId="342" dataDxfId="341">
  <autoFilter ref="P116:T132" xr:uid="{FACF5982-99BD-C343-9EDC-209733FBEFE6}"/>
  <tableColumns count="5">
    <tableColumn id="1" xr3:uid="{7B0E5852-F0D5-AE4A-9134-CDC84C8A51C8}" name="Region" dataDxfId="340"/>
    <tableColumn id="2" xr3:uid="{86A956CC-0D52-2E4B-B4AE-74119E055716}" name="No or some difficulty" dataDxfId="339"/>
    <tableColumn id="3" xr3:uid="{B5CFF25B-09D2-5747-A737-6DACBC2DA0EE}" name="At least a lot of difficulty" dataDxfId="338"/>
    <tableColumn id="4" xr3:uid="{7A074E27-3BEE-2143-9351-AEB651FF7D84}" name="Difference" dataDxfId="337"/>
    <tableColumn id="5" xr3:uid="{9258A69C-CD07-8A47-9775-F3801961BEC4}" name="Statistical Significance of the Difference" dataDxfId="336"/>
  </tableColumns>
  <tableStyleInfo name="TableStyleMedium2" showFirstColumn="1" showLastColumn="0" showRowStripes="1" showColumnStripes="0"/>
</table>
</file>

<file path=xl/tables/table2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6" xr:uid="{381A9DBC-82B4-D74F-8352-F721C154BF79}" name="Table_S5.1.a_Adults_in_households_with_cell_phone_for_all_adults_Percentage_disaggregation_a" displayName="Table_S5.1.a_Adults_in_households_with_cell_phone_for_all_adults_Percentage_disaggregation_a" ref="A2:E18" totalsRowShown="0" headerRowDxfId="335" dataDxfId="334">
  <autoFilter ref="A2:E18" xr:uid="{381A9DBC-82B4-D74F-8352-F721C154BF79}"/>
  <tableColumns count="5">
    <tableColumn id="1" xr3:uid="{9E2BC46B-501E-5C4B-B21C-DDB0A8191F1D}" name="Region" dataDxfId="333"/>
    <tableColumn id="2" xr3:uid="{229A5EF0-E389-6745-8767-EAE014FB46E2}" name="No difficulty" dataDxfId="332"/>
    <tableColumn id="3" xr3:uid="{7DB100CD-D503-634D-BCD0-684F19BE5B39}" name="Any difficulty" dataDxfId="331"/>
    <tableColumn id="4" xr3:uid="{F95A26E2-81F3-BE47-8BEC-B1BAA45A9273}" name="Difference" dataDxfId="330"/>
    <tableColumn id="5" xr3:uid="{7B1DA0EA-3A7A-AA4A-8B6A-49C93A997224}" name="Statistical Significance of the Difference" dataDxfId="329">
      <calculatedColumnFormula>IF(       0&lt;0.01,"***",IF(       0&lt;0.05,"**",IF(       0&lt;0.1,"*","NS")))</calculatedColumnFormula>
    </tableColumn>
  </tableColumns>
  <tableStyleInfo name="TableStyleMedium2" showFirstColumn="1" showLastColumn="0" showRowStripes="1" showColumnStripes="0"/>
</table>
</file>

<file path=xl/tables/table2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7" xr:uid="{ACC6F38E-EB0C-424C-B847-12FD4199B876}" name="Table_S5.1.b_Adults_in_households_with_cell_phone_for_all_adults_Percentage_disaggregation_b" displayName="Table_S5.1.b_Adults_in_households_with_cell_phone_for_all_adults_Percentage_disaggregation_b" ref="G2:N18" totalsRowShown="0" headerRowDxfId="328" dataDxfId="327">
  <autoFilter ref="G2:N18" xr:uid="{ACC6F38E-EB0C-424C-B847-12FD4199B876}"/>
  <tableColumns count="8">
    <tableColumn id="1" xr3:uid="{F07990ED-C865-6B4B-8903-F9B8E551D60B}" name="Region" dataDxfId="326"/>
    <tableColumn id="2" xr3:uid="{BDDAD585-44D8-754D-AC92-5B1467582402}" name="No difficulty" dataDxfId="325"/>
    <tableColumn id="3" xr3:uid="{F5FF503D-AD53-C542-A4A4-C2275E0C1A85}" name="Some difficulty" dataDxfId="324"/>
    <tableColumn id="4" xr3:uid="{6F967CBD-D604-594B-B552-11D14CC1512A}" name="Difference" dataDxfId="323"/>
    <tableColumn id="5" xr3:uid="{691F5F83-B2FB-EE42-9EEB-DB7E67A36104}" name="Statistical Significance of the Difference" dataDxfId="322"/>
    <tableColumn id="6" xr3:uid="{7B8A63CF-A626-264E-8A32-5478ABD27592}" name="At least a lot of difficulty" dataDxfId="321"/>
    <tableColumn id="7" xr3:uid="{6967DDA5-25DD-2B4F-A194-A979DFD40C6F}" name="Difference No difficulty &amp; At least a lot of difficulty" dataDxfId="320"/>
    <tableColumn id="8" xr3:uid="{4D413F0D-0DB5-F94B-A7CE-22332784809B}" name="Statistical Significance of the Difference (No difficulty vs At least a lot)" dataDxfId="319">
      <calculatedColumnFormula>IF(       0&lt;0.01,"***",IF(       0&lt;0.05,"**",IF(       0&lt;0.1,"*","NS")))</calculatedColumnFormula>
    </tableColumn>
  </tableColumns>
  <tableStyleInfo name="TableStyleMedium2" showFirstColumn="1" showLastColumn="0" showRowStripes="1" showColumnStripes="0"/>
</table>
</file>

<file path=xl/tables/table2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8" xr:uid="{F18A5ADF-8085-0A48-8570-33A52C020642}" name="Table_S5.1.c_Adults_in_households_with_cell_phone_for_all_adults_Percentage_disaggregation_c" displayName="Table_S5.1.c_Adults_in_households_with_cell_phone_for_all_adults_Percentage_disaggregation_c" ref="P2:T18" totalsRowShown="0" headerRowDxfId="318" dataDxfId="317">
  <autoFilter ref="P2:T18" xr:uid="{F18A5ADF-8085-0A48-8570-33A52C020642}"/>
  <tableColumns count="5">
    <tableColumn id="1" xr3:uid="{E6353CA5-AA62-FD4A-B0A3-DCDF6184F15A}" name="Region" dataDxfId="316"/>
    <tableColumn id="2" xr3:uid="{32E06CF5-2803-B24B-9BC1-1D4ED66E9335}" name="No or some difficulty" dataDxfId="315"/>
    <tableColumn id="3" xr3:uid="{4491278A-3548-AC4D-BC46-4E9BFAA294D9}" name="At least a lot of difficulty" dataDxfId="314"/>
    <tableColumn id="4" xr3:uid="{5730FBC9-F52D-1040-813A-93D65BA992E4}" name="Difference" dataDxfId="313"/>
    <tableColumn id="5" xr3:uid="{C664955C-B83C-FF41-BB55-528E7B61D8CE}" name="Statistical Significance of the Difference" dataDxfId="312">
      <calculatedColumnFormula>IF(       0&lt;0.01,"***",IF(       0&lt;0.05,"**",IF(       0&lt;0.1,"*","NS")))</calculatedColumnFormula>
    </tableColumn>
  </tableColumns>
  <tableStyleInfo name="TableStyleMedium2" showFirstColumn="1"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FE02CB5C-255C-4946-9F14-8AB39A805174}" name="Table_S4_Share_of_all_adults_in_households_owning_assets_Percentage_by_functional_difficulty_type" displayName="Table_S4_Share_of_all_adults_in_households_owning_assets_Percentage_by_functional_difficulty_type" ref="A173:H189" totalsRowShown="0" headerRowDxfId="2045" dataDxfId="2044">
  <autoFilter ref="A173:H189" xr:uid="{FE02CB5C-255C-4946-9F14-8AB39A805174}"/>
  <tableColumns count="8">
    <tableColumn id="1" xr3:uid="{05258DCE-05FE-AE4D-8D1F-9DAA119C1704}" name="Region" dataDxfId="2043"/>
    <tableColumn id="2" xr3:uid="{954AE800-BF39-754C-A383-89F152808591}" name="No Difficulty" dataDxfId="2042"/>
    <tableColumn id="3" xr3:uid="{585E6738-94A7-EF4F-8ACA-CEA33A375912}" name="Seeing" dataDxfId="2041"/>
    <tableColumn id="4" xr3:uid="{FAB3FDB9-37D7-E040-9CA5-721BB97F1539}" name="Hearing" dataDxfId="2040"/>
    <tableColumn id="5" xr3:uid="{AEE143B8-CA3E-CD48-90F3-6CA123AFB7A4}" name="Mobility" dataDxfId="2039"/>
    <tableColumn id="6" xr3:uid="{C5867322-B185-4440-902A-24863ADE6523}" name="Cognition" dataDxfId="2038"/>
    <tableColumn id="7" xr3:uid="{74B24F74-A51A-CE44-A2BD-BD6636C75083}" name="Self-Care" dataDxfId="2037"/>
    <tableColumn id="8" xr3:uid="{85B96B27-A988-B644-8C2F-DD8228A5C442}" name="Communication" dataDxfId="2036"/>
  </tableColumns>
  <tableStyleInfo name="TableStyleMedium2" showFirstColumn="1" showLastColumn="0" showRowStripes="1" showColumnStripes="0"/>
</table>
</file>

<file path=xl/tables/table2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9" xr:uid="{0A05B1C4-48DB-9C43-8353-AEF63C5ABBB8}" name="Table_S5.2.a_Adults_in_households_with_cell_phone_for_females_Percentage_disaggregation_a" displayName="Table_S5.2.a_Adults_in_households_with_cell_phone_for_females_Percentage_disaggregation_a" ref="A21:E37" totalsRowShown="0" headerRowDxfId="311" dataDxfId="310">
  <autoFilter ref="A21:E37" xr:uid="{0A05B1C4-48DB-9C43-8353-AEF63C5ABBB8}"/>
  <tableColumns count="5">
    <tableColumn id="1" xr3:uid="{290B9988-A31F-914B-B01C-F6E9A0612F5D}" name="Region" dataDxfId="309"/>
    <tableColumn id="2" xr3:uid="{C95035D4-D48A-DE49-A344-D64DED9A57B0}" name="No difficulty" dataDxfId="308"/>
    <tableColumn id="3" xr3:uid="{E5DD0263-2CBA-5D49-85A9-10C9853961C7}" name="Any difficulty" dataDxfId="307"/>
    <tableColumn id="4" xr3:uid="{9467C072-12A7-C547-AE7D-4268D30EB1AA}" name="Difference" dataDxfId="306"/>
    <tableColumn id="5" xr3:uid="{2952898E-4AFE-AF4D-9FB3-C0ADDC5C4D2F}" name="Statistical Significance of the Difference" dataDxfId="305">
      <calculatedColumnFormula>IF(       0&lt;0.01,"***",IF(       0&lt;0.05,"**",IF(       0&lt;0.1,"*","NS")))</calculatedColumnFormula>
    </tableColumn>
  </tableColumns>
  <tableStyleInfo name="TableStyleMedium2" showFirstColumn="1" showLastColumn="0" showRowStripes="1" showColumnStripes="0"/>
</table>
</file>

<file path=xl/tables/table2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0" xr:uid="{2A0642B1-BA8C-CA4A-AF97-8D8FC48620B3}" name="Table_S5.2.b_Adults_in_households_with_cell_phone_for_females_Percentage_disaggregation_b" displayName="Table_S5.2.b_Adults_in_households_with_cell_phone_for_females_Percentage_disaggregation_b" ref="G21:N37" totalsRowShown="0" headerRowDxfId="304" dataDxfId="303">
  <autoFilter ref="G21:N37" xr:uid="{2A0642B1-BA8C-CA4A-AF97-8D8FC48620B3}"/>
  <tableColumns count="8">
    <tableColumn id="1" xr3:uid="{B3321E98-18E4-1A41-B762-F4EF5B7F0062}" name="Region" dataDxfId="302"/>
    <tableColumn id="2" xr3:uid="{962EF6A4-FF1D-AD4B-910D-E88D259EC8E2}" name="No difficulty" dataDxfId="301"/>
    <tableColumn id="3" xr3:uid="{7315BB2E-D685-A748-AE20-7EA0A7645D91}" name="Some difficulty" dataDxfId="300"/>
    <tableColumn id="4" xr3:uid="{E4AA0073-7A77-D94E-B1CB-FB9FB2CA16ED}" name="Difference" dataDxfId="299"/>
    <tableColumn id="5" xr3:uid="{D56DDD83-EDB0-BD4D-A59F-342DC8407759}" name="Statistical Significance of the Difference" dataDxfId="298"/>
    <tableColumn id="6" xr3:uid="{C337965E-C4C8-7943-A4C2-BAD71C075324}" name="At least a lot of difficulty" dataDxfId="297"/>
    <tableColumn id="7" xr3:uid="{1BCF2622-AEB8-1449-9A74-74D93FA2CF1E}" name="Difference No difficulty &amp; At least a lot of difficulty" dataDxfId="296"/>
    <tableColumn id="8" xr3:uid="{E0AADBEC-A62F-8842-B893-01B45F5E21F7}" name="Statistical Significance of the Difference (No difficulty vs At least a lot)" dataDxfId="295"/>
  </tableColumns>
  <tableStyleInfo name="TableStyleMedium2" showFirstColumn="1" showLastColumn="0" showRowStripes="1" showColumnStripes="0"/>
</table>
</file>

<file path=xl/tables/table2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1" xr:uid="{FFEFDE2C-E6D4-2D4A-86EC-DDFD294FFF52}" name="Table_S5.2.c_Adults_in_households_with_cell_phone_for_females_Percentage_disaggregation_c" displayName="Table_S5.2.c_Adults_in_households_with_cell_phone_for_females_Percentage_disaggregation_c" ref="P21:T37" totalsRowShown="0" headerRowDxfId="294" dataDxfId="293">
  <autoFilter ref="P21:T37" xr:uid="{FFEFDE2C-E6D4-2D4A-86EC-DDFD294FFF52}"/>
  <tableColumns count="5">
    <tableColumn id="1" xr3:uid="{30FC17BB-9D08-9F4E-ACD0-93C72BB4AF71}" name="Region" dataDxfId="292"/>
    <tableColumn id="2" xr3:uid="{2A3AD9C1-5F5D-7C46-A351-A677ACCFBF21}" name="No or some difficulty" dataDxfId="291"/>
    <tableColumn id="3" xr3:uid="{E4C1CD1B-5517-2144-AC32-477E6803087E}" name="At least a lot of difficulty" dataDxfId="290"/>
    <tableColumn id="4" xr3:uid="{358A0B7D-DBAF-8849-835D-6A283ACAC1B2}" name="Difference" dataDxfId="289"/>
    <tableColumn id="5" xr3:uid="{883FA322-F8EA-4D40-A384-4EC0D76F3C8E}" name="Statistical Significance of the Difference" dataDxfId="288"/>
  </tableColumns>
  <tableStyleInfo name="TableStyleMedium2" showFirstColumn="1" showLastColumn="0" showRowStripes="1" showColumnStripes="0"/>
</table>
</file>

<file path=xl/tables/table2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2" xr:uid="{E72A4A6F-E3D8-064D-9ED6-F22CBF56A3EC}" name="Table_S5.3.a_Adults_in_households_with_cell_phone_for_males_Percentage_disaggregation_a" displayName="Table_S5.3.a_Adults_in_households_with_cell_phone_for_males_Percentage_disaggregation_a" ref="A40:E56" totalsRowShown="0" headerRowDxfId="287" dataDxfId="286">
  <autoFilter ref="A40:E56" xr:uid="{E72A4A6F-E3D8-064D-9ED6-F22CBF56A3EC}"/>
  <tableColumns count="5">
    <tableColumn id="1" xr3:uid="{A9E79A55-8B0B-7D48-A93E-7DC057D5C056}" name="Region" dataDxfId="285"/>
    <tableColumn id="2" xr3:uid="{7B9B7727-B4A0-BE48-805F-7553C2572902}" name="No difficulty" dataDxfId="284"/>
    <tableColumn id="3" xr3:uid="{B94AC2C9-66F7-8A45-831D-605D3935EA5F}" name="Any difficulty" dataDxfId="283"/>
    <tableColumn id="4" xr3:uid="{A4E88826-48A9-C047-BE92-8BC77A295158}" name="Difference" dataDxfId="282"/>
    <tableColumn id="5" xr3:uid="{1EC5C1F9-5B02-A947-ADC4-E10420CE9777}" name="Statistical Significance of the Difference" dataDxfId="281"/>
  </tableColumns>
  <tableStyleInfo name="TableStyleMedium2" showFirstColumn="1" showLastColumn="0" showRowStripes="1" showColumnStripes="0"/>
</table>
</file>

<file path=xl/tables/table2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3" xr:uid="{37BAA8E6-70CC-7D41-8BEC-5E48A7983EE2}" name="Table_S5.3.b_Adults_in_households_with_cell_phone_for_males_Percentage_disaggregation_b" displayName="Table_S5.3.b_Adults_in_households_with_cell_phone_for_males_Percentage_disaggregation_b" ref="G40:N56" totalsRowShown="0" headerRowDxfId="280" dataDxfId="279">
  <autoFilter ref="G40:N56" xr:uid="{37BAA8E6-70CC-7D41-8BEC-5E48A7983EE2}"/>
  <tableColumns count="8">
    <tableColumn id="1" xr3:uid="{507A6294-F22D-3648-A505-D004A0B41C7A}" name="Region" dataDxfId="278"/>
    <tableColumn id="2" xr3:uid="{E05520B6-7398-124A-866D-9819A80EC6D1}" name="No difficulty" dataDxfId="277"/>
    <tableColumn id="3" xr3:uid="{CD0F1956-AFAC-514C-B657-41D326C48A07}" name="Some difficulty" dataDxfId="276"/>
    <tableColumn id="4" xr3:uid="{8C600AC9-1B77-3D44-8446-5AA1F4615FA1}" name="Difference" dataDxfId="275"/>
    <tableColumn id="5" xr3:uid="{F15245EE-457F-6D4C-BF23-C368EDE1196E}" name="Statistical Significance of the Difference" dataDxfId="274"/>
    <tableColumn id="6" xr3:uid="{F5648BB6-F5F7-D940-822E-629273C39A23}" name="At least a lot of difficulty" dataDxfId="273"/>
    <tableColumn id="7" xr3:uid="{65DDBEA0-7BE4-5049-BC47-5B5FBF7F575F}" name="Difference No difficulty &amp; At least a lot of difficulty" dataDxfId="272"/>
    <tableColumn id="8" xr3:uid="{74767160-9AD7-D149-890A-4EFC8007D04D}" name="Statistical Significance of the Difference (No difficulty vs At least a lot)" dataDxfId="271"/>
  </tableColumns>
  <tableStyleInfo name="TableStyleMedium2" showFirstColumn="1" showLastColumn="0" showRowStripes="1" showColumnStripes="0"/>
</table>
</file>

<file path=xl/tables/table2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4" xr:uid="{F57AF6C9-2759-A146-8C40-7F2E46B8CC82}" name="Table_S5.3.c_Adults_in_households_with_cell_phone_for_males_Percentage_disaggregation_c" displayName="Table_S5.3.c_Adults_in_households_with_cell_phone_for_males_Percentage_disaggregation_c" ref="P40:T56" totalsRowShown="0" headerRowDxfId="270" dataDxfId="269">
  <autoFilter ref="P40:T56" xr:uid="{F57AF6C9-2759-A146-8C40-7F2E46B8CC82}"/>
  <tableColumns count="5">
    <tableColumn id="1" xr3:uid="{9AD2D6FD-05CC-F647-B79D-EE463959E032}" name="Region" dataDxfId="268"/>
    <tableColumn id="2" xr3:uid="{CB864135-2147-AA48-9C79-4E5D34E66B56}" name="No or some difficulty" dataDxfId="267"/>
    <tableColumn id="3" xr3:uid="{686737F8-0E54-134B-B62B-3ACE9CA8D8C4}" name="At least a lot of difficulty" dataDxfId="266"/>
    <tableColumn id="4" xr3:uid="{05B25570-9861-9C49-8312-984C1881C8B0}" name="Difference" dataDxfId="265"/>
    <tableColumn id="5" xr3:uid="{503EF4C3-2504-E547-BE43-FE5CE6EEBC49}" name="Statistical Significance of the Difference" dataDxfId="264"/>
  </tableColumns>
  <tableStyleInfo name="TableStyleMedium2" showFirstColumn="1" showLastColumn="0" showRowStripes="1" showColumnStripes="0"/>
</table>
</file>

<file path=xl/tables/table2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5" xr:uid="{C6AEE7BE-42CD-0843-833B-0BBA235F1F8A}" name="Table_S5.4.a_Adults_in_households_with_cell_phone_for_rural_residents_Percentage_disaggregation_a" displayName="Table_S5.4.a_Adults_in_households_with_cell_phone_for_rural_residents_Percentage_disaggregation_a" ref="A59:E75" totalsRowShown="0" headerRowDxfId="263" dataDxfId="262">
  <autoFilter ref="A59:E75" xr:uid="{C6AEE7BE-42CD-0843-833B-0BBA235F1F8A}"/>
  <tableColumns count="5">
    <tableColumn id="1" xr3:uid="{FC130831-359D-3841-B811-975DE9D5CCC9}" name="Region" dataDxfId="261"/>
    <tableColumn id="2" xr3:uid="{429B75D0-D112-8C41-A6F5-4BE0E997D9EE}" name="No difficulty" dataDxfId="260"/>
    <tableColumn id="3" xr3:uid="{3FB4F417-DF5E-F54D-B3AA-5BD0CF0831CF}" name="Any difficulty" dataDxfId="259"/>
    <tableColumn id="4" xr3:uid="{B6BED56C-6FA5-F445-BF09-FF60E1CFBCB1}" name="Difference" dataDxfId="258"/>
    <tableColumn id="5" xr3:uid="{B8A95C84-7341-3346-A18E-0164B936F9B7}" name="Statistical Significance of the Difference" dataDxfId="257"/>
  </tableColumns>
  <tableStyleInfo name="TableStyleMedium2" showFirstColumn="1" showLastColumn="0" showRowStripes="1" showColumnStripes="0"/>
</table>
</file>

<file path=xl/tables/table2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6" xr:uid="{EA021EF3-FF79-E24C-ABFE-27532A3EFC63}" name="Table_S5.4.b_Adults_in_households_with_cell_phone_for_rural_residents_Percentage_disaggregation_b" displayName="Table_S5.4.b_Adults_in_households_with_cell_phone_for_rural_residents_Percentage_disaggregation_b" ref="G59:N75" totalsRowShown="0" headerRowDxfId="256" dataDxfId="255">
  <autoFilter ref="G59:N75" xr:uid="{EA021EF3-FF79-E24C-ABFE-27532A3EFC63}"/>
  <tableColumns count="8">
    <tableColumn id="1" xr3:uid="{E0D88A42-B1CE-9C49-A269-1E29C2C288D7}" name="Region" dataDxfId="254"/>
    <tableColumn id="2" xr3:uid="{0DDED9A0-3879-3847-BC5A-B00CA46F79E8}" name="No difficulty" dataDxfId="253"/>
    <tableColumn id="3" xr3:uid="{2CE2CBD7-780C-914B-A184-01CB7FD7DEF9}" name="Some difficulty" dataDxfId="252"/>
    <tableColumn id="4" xr3:uid="{B81059AF-0D58-6143-A426-84FD19DCF521}" name="Difference" dataDxfId="251"/>
    <tableColumn id="5" xr3:uid="{55BD8806-2CCC-C446-A5BC-F531C1D09B7D}" name="Statistical Significance of the Difference" dataDxfId="250"/>
    <tableColumn id="6" xr3:uid="{0376E5BC-C2EB-D647-9CFB-823FB5E1CA0F}" name="At least a lot of difficulty" dataDxfId="249"/>
    <tableColumn id="7" xr3:uid="{27FB6ECD-2BF4-5D47-BE59-A07C01DE8906}" name="Difference No difficulty &amp; At least a lot of difficulty" dataDxfId="248"/>
    <tableColumn id="8" xr3:uid="{38733A75-6A54-EC45-8A2B-506A9B80BB87}" name="Statistical Significance of the Difference (No difficulty vs At least a lot)" dataDxfId="247"/>
  </tableColumns>
  <tableStyleInfo name="TableStyleMedium2" showFirstColumn="1" showLastColumn="0" showRowStripes="1" showColumnStripes="0"/>
</table>
</file>

<file path=xl/tables/table2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7" xr:uid="{D4F3119C-447C-174A-9072-5D3771E2981A}" name="Table_S5.4.c_Adults_in_households_with_cell_phone_for_rural_residents_Percentage_disaggregation_c" displayName="Table_S5.4.c_Adults_in_households_with_cell_phone_for_rural_residents_Percentage_disaggregation_c" ref="P59:T75" totalsRowShown="0" headerRowDxfId="246" dataDxfId="245">
  <autoFilter ref="P59:T75" xr:uid="{D4F3119C-447C-174A-9072-5D3771E2981A}"/>
  <tableColumns count="5">
    <tableColumn id="1" xr3:uid="{2AC5F1F5-5B1F-C449-9F67-28103DBB4F82}" name="Region" dataDxfId="244"/>
    <tableColumn id="2" xr3:uid="{669FD46C-570D-674B-830F-4F180AB2CF0B}" name="No or some difficulty" dataDxfId="243"/>
    <tableColumn id="3" xr3:uid="{D4D499FE-2BC2-154F-B1BE-9740D6F33395}" name="At least a lot of difficulty" dataDxfId="242"/>
    <tableColumn id="4" xr3:uid="{5B136EF1-0385-5A4A-A437-D7C263C3B618}" name="Difference" dataDxfId="241"/>
    <tableColumn id="5" xr3:uid="{437A9DB3-CBC7-3A47-B753-9474E02E02B5}" name="Statistical Significance of the Difference" dataDxfId="240"/>
  </tableColumns>
  <tableStyleInfo name="TableStyleMedium2" showFirstColumn="1" showLastColumn="0" showRowStripes="1" showColumnStripes="0"/>
</table>
</file>

<file path=xl/tables/table2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8" xr:uid="{7D24969B-F8EA-8F40-B03C-38B08FBC85A6}" name="Table_S5.5.a_Adults_in_households_with_cell_phone_for_urban_residents_Percentage_disaggregation_a" displayName="Table_S5.5.a_Adults_in_households_with_cell_phone_for_urban_residents_Percentage_disaggregation_a" ref="A78:E94" totalsRowShown="0" headerRowDxfId="239" dataDxfId="238">
  <autoFilter ref="A78:E94" xr:uid="{7D24969B-F8EA-8F40-B03C-38B08FBC85A6}"/>
  <tableColumns count="5">
    <tableColumn id="1" xr3:uid="{9571562A-66E2-D24F-A57A-FFA78BA3DA07}" name="Region" dataDxfId="237"/>
    <tableColumn id="2" xr3:uid="{BD7CEF7F-43B6-3440-B1DC-1D15C1B5EEBA}" name="No difficulty" dataDxfId="236"/>
    <tableColumn id="3" xr3:uid="{F9F7D0C2-7B07-7F41-ACBC-49E6C9C89A99}" name="Any difficulty" dataDxfId="235"/>
    <tableColumn id="4" xr3:uid="{94A1231D-2D12-6247-B7C8-E420FF2FBFF7}" name="Difference" dataDxfId="234"/>
    <tableColumn id="5" xr3:uid="{4F0AE5AC-F561-794D-A8E0-6EE8B712EA45}" name="Statistical Significance of the Difference" dataDxfId="233"/>
  </tableColumns>
  <tableStyleInfo name="TableStyleMedium2" showFirstColumn="1"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DB86C761-D5A6-B743-B697-BBF8F10244C8}" name="Table_S5_Share_of_Adults_in_households_with_cell_phone__Percentage_by_functional_difficulty_type" displayName="Table_S5_Share_of_Adults_in_households_with_cell_phone__Percentage_by_functional_difficulty_type" ref="A192:H208" totalsRowShown="0" headerRowDxfId="2035" dataDxfId="2034">
  <autoFilter ref="A192:H208" xr:uid="{DB86C761-D5A6-B743-B697-BBF8F10244C8}"/>
  <tableColumns count="8">
    <tableColumn id="1" xr3:uid="{514272F2-F01C-3B47-99EE-22A9F2402D5F}" name="Region" dataDxfId="2033"/>
    <tableColumn id="2" xr3:uid="{5C661280-963C-1549-B1F8-044C5F325E96}" name="No Difficulty" dataDxfId="2032"/>
    <tableColumn id="3" xr3:uid="{450BB3A7-11FE-7F4A-A4A5-32ABE9CC7D30}" name="Seeing" dataDxfId="2031"/>
    <tableColumn id="4" xr3:uid="{66567C67-BCDC-DF46-85FF-CBD149C5341C}" name="Hearing" dataDxfId="2030"/>
    <tableColumn id="5" xr3:uid="{707A162F-08B7-0D48-BDD0-4BD030BC703F}" name="Mobility" dataDxfId="2029"/>
    <tableColumn id="6" xr3:uid="{F5E4C701-D387-454D-B74E-DE65877B0E20}" name="Cognition" dataDxfId="2028"/>
    <tableColumn id="7" xr3:uid="{7F2BA966-2B4D-2A43-BFCF-690A06A13F3D}" name="Self-Care" dataDxfId="2027"/>
    <tableColumn id="8" xr3:uid="{EFA31F4A-D318-894F-BA85-66267A1083DE}" name="Communication" dataDxfId="2026"/>
  </tableColumns>
  <tableStyleInfo name="TableStyleMedium2" showFirstColumn="1" showLastColumn="0" showRowStripes="1" showColumnStripes="0"/>
</table>
</file>

<file path=xl/tables/table2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9" xr:uid="{2E5AFDE2-390F-AA4E-BC19-8811D26877B8}" name="Table_S5.5.b_Adults_in_households_with_cell_phone_for_urban_residents_Percentage_disaggregation_b" displayName="Table_S5.5.b_Adults_in_households_with_cell_phone_for_urban_residents_Percentage_disaggregation_b" ref="G78:N94" totalsRowShown="0" headerRowDxfId="232" dataDxfId="231">
  <autoFilter ref="G78:N94" xr:uid="{2E5AFDE2-390F-AA4E-BC19-8811D26877B8}"/>
  <tableColumns count="8">
    <tableColumn id="1" xr3:uid="{67A8552D-1C2B-104C-88F9-95606897095C}" name="Region" dataDxfId="230"/>
    <tableColumn id="2" xr3:uid="{7F58F507-9F0A-9846-8998-6E01BAE05F3C}" name="No difficulty" dataDxfId="229"/>
    <tableColumn id="3" xr3:uid="{1219CD19-C106-9B48-B896-CCCA28C52962}" name="Some difficulty" dataDxfId="228"/>
    <tableColumn id="4" xr3:uid="{F3C50DDC-B1CB-C245-AD33-18A6DAB76146}" name="Difference" dataDxfId="227"/>
    <tableColumn id="5" xr3:uid="{E2FA8C31-B8BC-2747-A864-0D07EFBBF117}" name="Statistical Significance of the Difference" dataDxfId="226"/>
    <tableColumn id="6" xr3:uid="{01F96957-A987-0749-B8AB-1CC5E1F81683}" name="At least a lot of difficulty" dataDxfId="225"/>
    <tableColumn id="7" xr3:uid="{439A72B5-11C6-1346-8956-F61D2C5978C7}" name="Difference No difficulty &amp; At least a lot of difficulty" dataDxfId="224"/>
    <tableColumn id="8" xr3:uid="{12646AD6-EC5C-654D-96C6-C32C92E140E9}" name="Statistical Significance of the Difference (No difficulty vs At least a lot)" dataDxfId="223"/>
  </tableColumns>
  <tableStyleInfo name="TableStyleMedium2" showFirstColumn="1" showLastColumn="0" showRowStripes="1" showColumnStripes="0"/>
</table>
</file>

<file path=xl/tables/table2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0" xr:uid="{7C08D78C-A3DA-D44A-B054-299DA089803E}" name="Table_S5.5.c_Adults_in_households_with_cell_phone_for_urban_residents_Percentage_disaggregation_c" displayName="Table_S5.5.c_Adults_in_households_with_cell_phone_for_urban_residents_Percentage_disaggregation_c" ref="P78:T94" totalsRowShown="0" headerRowDxfId="222" dataDxfId="221">
  <autoFilter ref="P78:T94" xr:uid="{7C08D78C-A3DA-D44A-B054-299DA089803E}"/>
  <tableColumns count="5">
    <tableColumn id="1" xr3:uid="{266DE590-E466-B84D-8BC0-025DECFEC886}" name="Region" dataDxfId="220"/>
    <tableColumn id="2" xr3:uid="{9D4476C5-DD0B-B347-B01D-9677E5C70833}" name="No or some difficulty" dataDxfId="219"/>
    <tableColumn id="3" xr3:uid="{1CDF2025-73C3-A745-A8DE-80DE374D8569}" name="At least a lot of difficulty" dataDxfId="218"/>
    <tableColumn id="4" xr3:uid="{DDAEF9C6-57D0-B34F-9BCA-44516A221932}" name="Difference" dataDxfId="217"/>
    <tableColumn id="5" xr3:uid="{79421333-8CDB-B140-8831-4AFEACB01197}" name="Statistical Significance of the Difference" dataDxfId="216"/>
  </tableColumns>
  <tableStyleInfo name="TableStyleMedium2" showFirstColumn="1" showLastColumn="0" showRowStripes="1" showColumnStripes="0"/>
</table>
</file>

<file path=xl/tables/table2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1" xr:uid="{94B0D596-7BC6-A244-8B7A-F5A5BB6626DA}" name="Table_S5.6.a_Adults_in_households_with_cell_phone_for_adults_ages_15_to_44_Percentage_disaggregation_a" displayName="Table_S5.6.a_Adults_in_households_with_cell_phone_for_adults_ages_15_to_44_Percentage_disaggregation_a" ref="A97:E113" totalsRowShown="0" headerRowDxfId="215" dataDxfId="214">
  <autoFilter ref="A97:E113" xr:uid="{94B0D596-7BC6-A244-8B7A-F5A5BB6626DA}"/>
  <tableColumns count="5">
    <tableColumn id="1" xr3:uid="{AEFFB105-8CA0-A542-886D-740097154781}" name="Region" dataDxfId="213"/>
    <tableColumn id="2" xr3:uid="{E9EEFAA0-5FF3-DF4D-AC83-6B7CDD61A57B}" name="No difficulty" dataDxfId="212"/>
    <tableColumn id="3" xr3:uid="{2AA737FD-CE7D-8B44-B649-C6F4453A990E}" name="Any difficulty" dataDxfId="211"/>
    <tableColumn id="4" xr3:uid="{30C5723B-0BA8-534B-9B82-1CC348B554A7}" name="Difference" dataDxfId="210"/>
    <tableColumn id="5" xr3:uid="{AFF113A8-2EC9-5B44-8AD1-B9E4E7E36C59}" name="Statistical Significance of the Difference" dataDxfId="209"/>
  </tableColumns>
  <tableStyleInfo name="TableStyleMedium2" showFirstColumn="1" showLastColumn="0" showRowStripes="1" showColumnStripes="0"/>
</table>
</file>

<file path=xl/tables/table2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2" xr:uid="{7CD2A2B7-1CFA-A14A-9BFF-436F37AD5AB9}" name="Table_S5.6.b_Adults_in_households_with_cell_phone_for_adults_ages_15_to_44_Percentage_disaggregation_b" displayName="Table_S5.6.b_Adults_in_households_with_cell_phone_for_adults_ages_15_to_44_Percentage_disaggregation_b" ref="G97:N113" totalsRowShown="0" headerRowDxfId="208" dataDxfId="207">
  <autoFilter ref="G97:N113" xr:uid="{7CD2A2B7-1CFA-A14A-9BFF-436F37AD5AB9}"/>
  <tableColumns count="8">
    <tableColumn id="1" xr3:uid="{A37CB1E4-3711-AE4B-ABC5-2B4245099160}" name="Region" dataDxfId="206"/>
    <tableColumn id="2" xr3:uid="{0F329A36-8353-3A47-A80D-DB60CA1F076C}" name="No difficulty" dataDxfId="205"/>
    <tableColumn id="3" xr3:uid="{2F2E99D4-C396-BC48-AB65-1B70DEBBDF3B}" name="Some difficulty" dataDxfId="204"/>
    <tableColumn id="4" xr3:uid="{5A2C785E-5D74-5741-86A6-BCEA2AF4F3AD}" name="Difference" dataDxfId="203"/>
    <tableColumn id="5" xr3:uid="{6422C646-E8D1-E344-A878-8E8BD866953E}" name="Statistical Significance of the Difference" dataDxfId="202"/>
    <tableColumn id="6" xr3:uid="{FB17C6F9-5F1E-0941-8C87-AA156E638BB0}" name="At least a lot of difficulty" dataDxfId="201"/>
    <tableColumn id="7" xr3:uid="{23AB2A86-7D6C-7840-9649-598AAEC21C06}" name="Difference No difficulty &amp; At least a lot of difficulty" dataDxfId="200"/>
    <tableColumn id="8" xr3:uid="{6D1F659C-D206-D04A-A467-3330CE2446A9}" name="Statistical Significance of the Difference (No difficulty vs At least a lot)" dataDxfId="199"/>
  </tableColumns>
  <tableStyleInfo name="TableStyleMedium2" showFirstColumn="1" showLastColumn="0" showRowStripes="1" showColumnStripes="0"/>
</table>
</file>

<file path=xl/tables/table2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3" xr:uid="{5AB15FC1-F21E-AC42-890F-310ADFFD0391}" name="Table_S5.6.c_Adults_in_households_with_cell_phone_for_adults_ages_15_to_44_Percentage_disaggregation_c" displayName="Table_S5.6.c_Adults_in_households_with_cell_phone_for_adults_ages_15_to_44_Percentage_disaggregation_c" ref="P97:T113" totalsRowShown="0" headerRowDxfId="198" dataDxfId="197">
  <autoFilter ref="P97:T113" xr:uid="{5AB15FC1-F21E-AC42-890F-310ADFFD0391}"/>
  <tableColumns count="5">
    <tableColumn id="1" xr3:uid="{7B9FEEAC-4152-A34C-BFD2-B2EB00E63598}" name="Region" dataDxfId="196"/>
    <tableColumn id="2" xr3:uid="{29ED7FC9-2E2C-8246-90DF-17CCB00C3CCC}" name="No or some difficulty" dataDxfId="195"/>
    <tableColumn id="3" xr3:uid="{4B88FE8F-FFBA-FE49-A420-8874AA4B72B3}" name="At least a lot of difficulty" dataDxfId="194"/>
    <tableColumn id="4" xr3:uid="{22A3DB9A-DB77-2949-A6D0-03CD8D820640}" name="Difference" dataDxfId="193"/>
    <tableColumn id="5" xr3:uid="{B4923155-8B41-7D44-AC89-C1CDFA6143F0}" name="Statistical Significance of the Difference" dataDxfId="192"/>
  </tableColumns>
  <tableStyleInfo name="TableStyleMedium2" showFirstColumn="1" showLastColumn="0" showRowStripes="1" showColumnStripes="0"/>
</table>
</file>

<file path=xl/tables/table2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4" xr:uid="{546A3E86-215C-F048-8874-C81B46162273}" name="Table_S5.7.a_Adults_in_households_with_cell_phone_for_adults_ages_45_and_older_Percentage_disaggregation_a" displayName="Table_S5.7.a_Adults_in_households_with_cell_phone_for_adults_ages_45_and_older_Percentage_disaggregation_a" ref="A116:E132" totalsRowShown="0" headerRowDxfId="191" dataDxfId="190">
  <autoFilter ref="A116:E132" xr:uid="{546A3E86-215C-F048-8874-C81B46162273}"/>
  <tableColumns count="5">
    <tableColumn id="1" xr3:uid="{A3600F4F-C60F-8744-8E36-8854D38D9157}" name="Region" dataDxfId="189"/>
    <tableColumn id="2" xr3:uid="{E427B110-CB59-1442-BCB3-4C81B3A24F83}" name="No difficulty" dataDxfId="188"/>
    <tableColumn id="3" xr3:uid="{7B0800A5-2CA3-AC44-9579-94C30357CC39}" name="Any difficulty" dataDxfId="187"/>
    <tableColumn id="4" xr3:uid="{69FD47F6-2AD6-E84F-B68B-4C96973FFB56}" name="Difference" dataDxfId="186"/>
    <tableColumn id="5" xr3:uid="{443640E9-ECBB-3E41-B240-BE8B0A71ECFC}" name="Statistical Significance of the Difference" dataDxfId="185"/>
  </tableColumns>
  <tableStyleInfo name="TableStyleMedium2" showFirstColumn="1" showLastColumn="0" showRowStripes="1" showColumnStripes="0"/>
</table>
</file>

<file path=xl/tables/table2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5" xr:uid="{0CE119C2-29DD-9646-8FA4-A0A69534CFD0}" name="Table_S5.7.b_Adults_in_households_with_cell_phone_for_adults_ages_45_and_older_Percentage_disaggregation_b" displayName="Table_S5.7.b_Adults_in_households_with_cell_phone_for_adults_ages_45_and_older_Percentage_disaggregation_b" ref="G116:N132" totalsRowShown="0" headerRowDxfId="184" dataDxfId="183">
  <autoFilter ref="G116:N132" xr:uid="{0CE119C2-29DD-9646-8FA4-A0A69534CFD0}"/>
  <tableColumns count="8">
    <tableColumn id="1" xr3:uid="{49C96E96-D5FF-D147-B7E9-4264BB515890}" name="Region" dataDxfId="182"/>
    <tableColumn id="2" xr3:uid="{9918E79C-5C19-B948-B3A7-3E16C5DFC685}" name="No difficulty" dataDxfId="181"/>
    <tableColumn id="3" xr3:uid="{13052B7B-C4C2-A643-B46C-BEB04595AA1C}" name="Some difficulty" dataDxfId="180"/>
    <tableColumn id="4" xr3:uid="{C4F310CA-09B1-CC4F-841F-C8255A501307}" name="Difference" dataDxfId="179"/>
    <tableColumn id="5" xr3:uid="{4A0C51C1-B4B0-A14B-98B7-03CFBABC2126}" name="Statistical Significance of the Difference" dataDxfId="178"/>
    <tableColumn id="6" xr3:uid="{B122495B-DF7C-C04E-A42E-6F640EFEC547}" name="At least a lot of difficulty" dataDxfId="177"/>
    <tableColumn id="7" xr3:uid="{A97245F3-CE68-9B4B-964E-5938DED4B063}" name="Difference No difficulty &amp; At least a lot of difficulty" dataDxfId="176"/>
    <tableColumn id="8" xr3:uid="{5B26C515-5EDD-B042-BE69-6D0C61F117DA}" name="Statistical Significance of the Difference (No difficulty vs At least a lot)" dataDxfId="175">
      <calculatedColumnFormula>IF(       0&lt;0.01,"***",IF(       0&lt;0.05,"**",IF(       0&lt;0.1,"*","NS")))</calculatedColumnFormula>
    </tableColumn>
  </tableColumns>
  <tableStyleInfo name="TableStyleMedium2" showFirstColumn="1" showLastColumn="0" showRowStripes="1" showColumnStripes="0"/>
</table>
</file>

<file path=xl/tables/table2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6" xr:uid="{A368B496-CC1B-9049-808B-815517105AA5}" name="Table_S5.7.c_Adults_in_households_with_cell_phone_for_adults_ages_45_and_older_Percentage_disaggregation_c" displayName="Table_S5.7.c_Adults_in_households_with_cell_phone_for_adults_ages_45_and_older_Percentage_disaggregation_c" ref="P116:T132" totalsRowShown="0" headerRowDxfId="174" dataDxfId="173">
  <autoFilter ref="P116:T132" xr:uid="{A368B496-CC1B-9049-808B-815517105AA5}"/>
  <tableColumns count="5">
    <tableColumn id="1" xr3:uid="{7729E89D-65AE-4543-9748-84FDB8D25C80}" name="Region" dataDxfId="172"/>
    <tableColumn id="2" xr3:uid="{5D1EE0E2-6168-164C-ACB8-CE47088BB110}" name="No or some difficulty" dataDxfId="171"/>
    <tableColumn id="3" xr3:uid="{AE09566D-04F2-904F-8048-DDA823650ADD}" name="At least a lot of difficulty" dataDxfId="170"/>
    <tableColumn id="4" xr3:uid="{1F68C318-935F-CA42-BF89-F774D749FE0E}" name="Difference" dataDxfId="169"/>
    <tableColumn id="5" xr3:uid="{C1A7BF3E-56A9-4D43-84B9-D2F58A37BBF9}" name="Statistical Significance of the Difference" dataDxfId="168"/>
  </tableColumns>
  <tableStyleInfo name="TableStyleMedium2" showFirstColumn="1" showLastColumn="0" showRowStripes="1" showColumnStripes="0"/>
</table>
</file>

<file path=xl/tables/table2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7" xr:uid="{FDDCDAB1-E992-6F4D-9233-65A3BEBA1DFC}" name="Table_M1.1.a_Multidimensional_poverty_headcount_for_all_adults_Percentage_disaggregation_a" displayName="Table_M1.1.a_Multidimensional_poverty_headcount_for_all_adults_Percentage_disaggregation_a" ref="A2:E18" totalsRowShown="0" headerRowDxfId="167" dataDxfId="166">
  <autoFilter ref="A2:E18" xr:uid="{FDDCDAB1-E992-6F4D-9233-65A3BEBA1DFC}"/>
  <tableColumns count="5">
    <tableColumn id="1" xr3:uid="{FC8410BF-5FE4-B045-B3CD-398C29B69585}" name="Region" dataDxfId="165"/>
    <tableColumn id="2" xr3:uid="{0293C56B-A4C8-7645-BC17-FBCC5337EBF0}" name="No difficulty" dataDxfId="164"/>
    <tableColumn id="3" xr3:uid="{DDB02568-F770-A346-A7AA-1DFB13DBD9ED}" name="Any difficulty" dataDxfId="163"/>
    <tableColumn id="4" xr3:uid="{B64C28EE-366B-2F4E-A7AC-FED0C8D6847B}" name="Difference" dataDxfId="162"/>
    <tableColumn id="5" xr3:uid="{EE30B28E-E902-EB41-8482-D8458E7F6C96}" name="Statistical Significance of the Difference" dataDxfId="161"/>
  </tableColumns>
  <tableStyleInfo name="TableStyleMedium2" showFirstColumn="1" showLastColumn="0" showRowStripes="1" showColumnStripes="0"/>
</table>
</file>

<file path=xl/tables/table2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8" xr:uid="{2FB8DA48-D205-7D48-BA9D-A19A8A4B8FCF}" name="Table_M1.1.b_Multidimensional_poverty_headcount_for_all_adults_Percentage_disaggregation_b" displayName="Table_M1.1.b_Multidimensional_poverty_headcount_for_all_adults_Percentage_disaggregation_b" ref="G2:N18" totalsRowShown="0" headerRowDxfId="160" dataDxfId="159">
  <autoFilter ref="G2:N18" xr:uid="{2FB8DA48-D205-7D48-BA9D-A19A8A4B8FCF}"/>
  <tableColumns count="8">
    <tableColumn id="1" xr3:uid="{2FB8ED20-3DB7-2240-8900-33727B9A8D5D}" name="Region" dataDxfId="158"/>
    <tableColumn id="2" xr3:uid="{FCA4931A-62AF-D445-9670-F93BB562AAA2}" name="No difficulty" dataDxfId="157"/>
    <tableColumn id="3" xr3:uid="{4CD8D22C-0F3B-8347-A8AA-5425105D1CEC}" name="Some difficulty" dataDxfId="156"/>
    <tableColumn id="4" xr3:uid="{608741E5-40F6-5E41-8E7E-AF25BF407786}" name="Difference" dataDxfId="155"/>
    <tableColumn id="5" xr3:uid="{F289E1FC-243F-3E44-9330-9EEAE1FD94A4}" name="Statistical Significance of the Difference" dataDxfId="154"/>
    <tableColumn id="6" xr3:uid="{266DDEA0-589E-AA4C-8827-2D54669207C6}" name="At least a lot of difficulty" dataDxfId="153"/>
    <tableColumn id="7" xr3:uid="{1D7E1A4B-137E-0E44-901A-F6871311B95D}" name="Difference No difficulty &amp; At least a lot of difficulty" dataDxfId="152"/>
    <tableColumn id="8" xr3:uid="{B7C91A31-E6D3-3441-A7E1-D796130C6696}" name="Statistical Significance of the Difference (No difficulty vs At least a lot)" dataDxfId="151"/>
  </tableColumns>
  <tableStyleInfo name="TableStyleMedium2" showFirstColumn="1"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4E0B1C4E-76F6-D847-B163-29DF6C7A71E1}" name="Table_M1_Multidimensional_poverty_headcount_for_all_adults_Percentage_by_functional_difficulty_type" displayName="Table_M1_Multidimensional_poverty_headcount_for_all_adults_Percentage_by_functional_difficulty_type" ref="A211:H227" totalsRowShown="0" headerRowDxfId="2025" dataDxfId="2024">
  <autoFilter ref="A211:H227" xr:uid="{4E0B1C4E-76F6-D847-B163-29DF6C7A71E1}"/>
  <tableColumns count="8">
    <tableColumn id="1" xr3:uid="{AF702867-AF4A-5746-83E6-7D04B9BC65AC}" name="Region" dataDxfId="2023"/>
    <tableColumn id="2" xr3:uid="{3F57E010-7FC5-DD40-A11B-821ED8C5D0AB}" name="No Difficulty" dataDxfId="2022"/>
    <tableColumn id="3" xr3:uid="{2AFB6973-8E80-8140-BA11-4603E227C87B}" name="Seeing" dataDxfId="2021"/>
    <tableColumn id="4" xr3:uid="{5AFFD89D-480D-9D41-9CBF-23309504AAC6}" name="Hearing" dataDxfId="2020"/>
    <tableColumn id="5" xr3:uid="{483E6CBC-BB31-2443-BE09-2469A3A6E479}" name="Mobility" dataDxfId="2019"/>
    <tableColumn id="6" xr3:uid="{9CCE6A6A-B3A6-E24A-B7B8-16437F0107D5}" name="Cognition" dataDxfId="2018"/>
    <tableColumn id="7" xr3:uid="{8F38EA6C-B521-774A-844F-2C7A55A04E15}" name="Self-Care" dataDxfId="2017"/>
    <tableColumn id="8" xr3:uid="{EBFC1DBE-F038-8746-9268-5F6C0463C3CC}" name="Communication" dataDxfId="2016"/>
  </tableColumns>
  <tableStyleInfo name="TableStyleMedium2" showFirstColumn="1" showLastColumn="0" showRowStripes="1" showColumnStripes="0"/>
</table>
</file>

<file path=xl/tables/table2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9" xr:uid="{3583C982-B75A-F94F-AF65-671F1C5EFBB3}" name="Table_M1.1.c_Multidimensional_poverty_headcount_for_all_adults_Percentage_disaggregation_c" displayName="Table_M1.1.c_Multidimensional_poverty_headcount_for_all_adults_Percentage_disaggregation_c" ref="P2:T18" totalsRowShown="0" headerRowDxfId="150" dataDxfId="149">
  <autoFilter ref="P2:T18" xr:uid="{3583C982-B75A-F94F-AF65-671F1C5EFBB3}"/>
  <tableColumns count="5">
    <tableColumn id="1" xr3:uid="{C96F6891-7B45-024E-A26C-3F1B44CF2BB7}" name="Region" dataDxfId="148"/>
    <tableColumn id="2" xr3:uid="{29C64667-793C-0C43-8FCF-004119D957B3}" name="No or some difficulty" dataDxfId="147"/>
    <tableColumn id="3" xr3:uid="{21328471-4B16-8B4B-835C-DD139C5EAF7C}" name="At least a lot of difficulty" dataDxfId="146"/>
    <tableColumn id="4" xr3:uid="{147F0803-A40D-A844-A739-B309D3FD17AD}" name="Difference" dataDxfId="145"/>
    <tableColumn id="5" xr3:uid="{7FA0C9EE-3496-D844-9163-EA17D4E2583A}" name="Statistical Significance of the Difference" dataDxfId="144"/>
  </tableColumns>
  <tableStyleInfo name="TableStyleMedium2" showFirstColumn="1" showLastColumn="0" showRowStripes="1" showColumnStripes="0"/>
</table>
</file>

<file path=xl/tables/table2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0" xr:uid="{4A3231C5-4833-F949-9DAE-E2044359FB1E}" name="Table_M1.2.a_Multidimensional_poverty_headcount_for_females_Percentage_disaggregation_a" displayName="Table_M1.2.a_Multidimensional_poverty_headcount_for_females_Percentage_disaggregation_a" ref="A21:E37" totalsRowShown="0" headerRowDxfId="143" dataDxfId="142">
  <autoFilter ref="A21:E37" xr:uid="{4A3231C5-4833-F949-9DAE-E2044359FB1E}"/>
  <tableColumns count="5">
    <tableColumn id="1" xr3:uid="{EC6CE59C-2DE7-0043-AD18-ABCF9A5CAB85}" name="Region" dataDxfId="141"/>
    <tableColumn id="2" xr3:uid="{808E8BBA-6645-564F-8ABB-5377EA5FEB74}" name="No difficulty" dataDxfId="140"/>
    <tableColumn id="3" xr3:uid="{AFBAEF89-8F58-9843-A984-92C85381F18A}" name="Any difficulty" dataDxfId="139"/>
    <tableColumn id="4" xr3:uid="{F9A49E84-DDC3-834C-8705-82B08B4832CF}" name="Difference" dataDxfId="138"/>
    <tableColumn id="5" xr3:uid="{33B04FB4-5B82-6945-96C8-B50264513BA8}" name="Statistical Significance of the Difference" dataDxfId="137"/>
  </tableColumns>
  <tableStyleInfo name="TableStyleMedium2" showFirstColumn="1" showLastColumn="0" showRowStripes="1" showColumnStripes="0"/>
</table>
</file>

<file path=xl/tables/table26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1" xr:uid="{D2813E57-0C33-A343-B78D-131156131AAE}" name="Table_M1.2.b_Multidimensional_poverty_headcount_for_females_Percentage_disaggregation_b" displayName="Table_M1.2.b_Multidimensional_poverty_headcount_for_females_Percentage_disaggregation_b" ref="G21:N37" totalsRowShown="0" headerRowDxfId="136" dataDxfId="135">
  <autoFilter ref="G21:N37" xr:uid="{D2813E57-0C33-A343-B78D-131156131AAE}"/>
  <tableColumns count="8">
    <tableColumn id="1" xr3:uid="{3D5E7A59-935C-9E45-8EDE-16A3BE15C894}" name="Region" dataDxfId="134"/>
    <tableColumn id="2" xr3:uid="{4007841A-BF5D-AD40-BF9F-674C8B39555B}" name="No difficulty" dataDxfId="133"/>
    <tableColumn id="3" xr3:uid="{FA30C021-7B86-D248-BD2C-B63E6B5F466B}" name="Some difficulty" dataDxfId="132"/>
    <tableColumn id="4" xr3:uid="{4344EC33-6ECA-AB48-BF0B-DD0663FD3980}" name="Difference" dataDxfId="131"/>
    <tableColumn id="5" xr3:uid="{58BAAC79-22A9-B641-9886-84293F66880F}" name="Statistical Significance of the Difference" dataDxfId="130"/>
    <tableColumn id="6" xr3:uid="{6E29DC18-989C-9B45-83A4-B854ABF411BA}" name="At least a lot of difficulty" dataDxfId="129"/>
    <tableColumn id="7" xr3:uid="{74AB8011-DC26-C740-B0B9-8C9C84968309}" name="Difference No difficulty &amp; At least a lot of difficulty" dataDxfId="128"/>
    <tableColumn id="8" xr3:uid="{C7EFD38F-C848-7C41-B37C-18A7518445A2}" name="Statistical Significance of the Difference (No difficulty vs At least a lot)" dataDxfId="127">
      <calculatedColumnFormula>IF(       0&lt;0.01,"***",IF(       0&lt;0.05,"**",IF(       0&lt;0.1,"*","NS")))</calculatedColumnFormula>
    </tableColumn>
  </tableColumns>
  <tableStyleInfo name="TableStyleMedium2" showFirstColumn="1" showLastColumn="0" showRowStripes="1" showColumnStripes="0"/>
</table>
</file>

<file path=xl/tables/table26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2" xr:uid="{E8869881-9CB2-2244-BBD7-181887F25795}" name="Table_M1.2.c_Multidimensional_poverty_headcount_for_females_Percentage_disaggregation_c" displayName="Table_M1.2.c_Multidimensional_poverty_headcount_for_females_Percentage_disaggregation_c" ref="P21:T37" totalsRowShown="0" headerRowDxfId="126" dataDxfId="125">
  <autoFilter ref="P21:T37" xr:uid="{E8869881-9CB2-2244-BBD7-181887F25795}"/>
  <tableColumns count="5">
    <tableColumn id="1" xr3:uid="{881E352C-D496-BA4B-BA0D-83B35C0AC3CE}" name="Region" dataDxfId="124"/>
    <tableColumn id="2" xr3:uid="{687DDC87-618B-0E45-8BA2-D810C6237470}" name="No or some difficulty" dataDxfId="123"/>
    <tableColumn id="3" xr3:uid="{1DD515B2-4AF6-DC49-A77C-67A807DC1D09}" name="At least a lot of difficulty" dataDxfId="122"/>
    <tableColumn id="4" xr3:uid="{3B2EF2FA-AE7A-3D42-8D25-DA179BC3ABC9}" name="Difference" dataDxfId="121"/>
    <tableColumn id="5" xr3:uid="{EBC942D9-31AF-1744-BA64-A43B1547BBFC}" name="Statistical Significance of the Difference" dataDxfId="120">
      <calculatedColumnFormula>IF(       0&lt;0.01,"***",IF(       0&lt;0.05,"**",IF(       0&lt;0.1,"*","NS")))</calculatedColumnFormula>
    </tableColumn>
  </tableColumns>
  <tableStyleInfo name="TableStyleMedium2" showFirstColumn="1" showLastColumn="0" showRowStripes="1" showColumnStripes="0"/>
</table>
</file>

<file path=xl/tables/table2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3" xr:uid="{B55CF918-C151-E64C-8729-F7154D83E6CD}" name="Table_M1.3.a_Multidimensional_poverty_headcount_for_males_Percentage_disaggregation_a" displayName="Table_M1.3.a_Multidimensional_poverty_headcount_for_males_Percentage_disaggregation_a" ref="A40:E56" totalsRowShown="0" headerRowDxfId="119" dataDxfId="118">
  <autoFilter ref="A40:E56" xr:uid="{B55CF918-C151-E64C-8729-F7154D83E6CD}"/>
  <tableColumns count="5">
    <tableColumn id="1" xr3:uid="{964BD0AD-448E-E04D-9652-B71FE8E3D3C8}" name="Region" dataDxfId="117"/>
    <tableColumn id="2" xr3:uid="{5E950CD5-862E-9A44-88AD-5822E479949B}" name="No difficulty" dataDxfId="116"/>
    <tableColumn id="3" xr3:uid="{9DE31A7E-29F6-4C41-A33B-0B78BDFD854A}" name="Any difficulty" dataDxfId="115"/>
    <tableColumn id="4" xr3:uid="{F1048FC4-E279-2041-82AE-55DC9A8F6A4B}" name="Difference" dataDxfId="114"/>
    <tableColumn id="5" xr3:uid="{ABFFDE9D-6539-C846-A20C-6290E7B3A578}" name="Statistical Significance of the Difference" dataDxfId="113"/>
  </tableColumns>
  <tableStyleInfo name="TableStyleMedium2" showFirstColumn="1" showLastColumn="0" showRowStripes="1" showColumnStripes="0"/>
</table>
</file>

<file path=xl/tables/table26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4" xr:uid="{B5B95CB0-8028-254F-987C-473FDC961C04}" name="Table_M1.3.b_Multidimensional_poverty_headcount_for_males_Percentage_disaggregation_b" displayName="Table_M1.3.b_Multidimensional_poverty_headcount_for_males_Percentage_disaggregation_b" ref="G40:N56" totalsRowShown="0" headerRowDxfId="112" dataDxfId="111">
  <autoFilter ref="G40:N56" xr:uid="{B5B95CB0-8028-254F-987C-473FDC961C04}"/>
  <tableColumns count="8">
    <tableColumn id="1" xr3:uid="{A0B61B95-9A80-E148-9AE7-04946E16F371}" name="Region" dataDxfId="110"/>
    <tableColumn id="2" xr3:uid="{8D40D169-5EF9-CE4C-B17C-5799CB4F95BA}" name="No difficulty" dataDxfId="109"/>
    <tableColumn id="3" xr3:uid="{7DB8C1E0-9AAB-9843-B3CE-DF8F755142A1}" name="Some difficulty" dataDxfId="108"/>
    <tableColumn id="4" xr3:uid="{6ECF7A18-8875-E341-93D0-87CC02C73CAB}" name="Difference" dataDxfId="107"/>
    <tableColumn id="5" xr3:uid="{4C8F0A51-CF2C-6848-BCDD-4754BD7A9703}" name="Statistical Significance of the Difference" dataDxfId="106"/>
    <tableColumn id="6" xr3:uid="{0C161661-1F88-8343-95B0-F2A024FBA1AF}" name="At least a lot of difficulty" dataDxfId="105"/>
    <tableColumn id="7" xr3:uid="{FFD4AA5F-5280-964F-A687-68908FC137BD}" name="Difference No difficulty &amp; At least a lot of difficulty" dataDxfId="104"/>
    <tableColumn id="8" xr3:uid="{B4317CA3-A7AC-434C-AB2C-53B6D2923A24}" name="Statistical Significance of the Difference (No difficulty vs At least a lot)" dataDxfId="103"/>
  </tableColumns>
  <tableStyleInfo name="TableStyleMedium2" showFirstColumn="1" showLastColumn="0" showRowStripes="1" showColumnStripes="0"/>
</table>
</file>

<file path=xl/tables/table26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5" xr:uid="{68E1A12B-DED9-594D-B6C9-9B996827810D}" name="Table_M1.3.c_Multidimensional_poverty_headcount_for_males_Percentage_disaggregation_c" displayName="Table_M1.3.c_Multidimensional_poverty_headcount_for_males_Percentage_disaggregation_c" ref="P40:T56" totalsRowShown="0" headerRowDxfId="102" dataDxfId="101">
  <autoFilter ref="P40:T56" xr:uid="{68E1A12B-DED9-594D-B6C9-9B996827810D}"/>
  <tableColumns count="5">
    <tableColumn id="1" xr3:uid="{E4AEEC4C-E7FF-9047-85A6-36E5E3F76DF9}" name="Region" dataDxfId="100"/>
    <tableColumn id="2" xr3:uid="{EE77D6D7-D7FF-FB42-94FF-7ABB2E6D52AC}" name="No or some difficulty" dataDxfId="99"/>
    <tableColumn id="3" xr3:uid="{913B29C1-9BB4-1B4E-8595-D7FFFF859B62}" name="At least a lot of difficulty" dataDxfId="98"/>
    <tableColumn id="4" xr3:uid="{A7955177-1A3D-F842-B29C-69E066760692}" name="Difference" dataDxfId="97"/>
    <tableColumn id="5" xr3:uid="{15686B5B-30E1-BE44-914E-68A1ECAD91F7}" name="Statistical Significance of the Difference" dataDxfId="96"/>
  </tableColumns>
  <tableStyleInfo name="TableStyleMedium2" showFirstColumn="1" showLastColumn="0" showRowStripes="1" showColumnStripes="0"/>
</table>
</file>

<file path=xl/tables/table26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6" xr:uid="{38D4D13B-6CEE-934E-8F75-9682A1D29515}" name="Table_M1.4.a_Multidimensional_poverty_headcount_for_rural_residents_Percentage_disaggregation_a" displayName="Table_M1.4.a_Multidimensional_poverty_headcount_for_rural_residents_Percentage_disaggregation_a" ref="A59:E75" totalsRowShown="0" headerRowDxfId="95" dataDxfId="94">
  <autoFilter ref="A59:E75" xr:uid="{38D4D13B-6CEE-934E-8F75-9682A1D29515}"/>
  <tableColumns count="5">
    <tableColumn id="1" xr3:uid="{1D63EB3A-2C52-4545-8C9F-0A373B2AF53E}" name="Region" dataDxfId="93"/>
    <tableColumn id="2" xr3:uid="{4B5E92BF-9C42-8541-A32E-147045F0A1C2}" name="No difficulty" dataDxfId="92"/>
    <tableColumn id="3" xr3:uid="{11628C5A-DAFD-394B-9475-BEBFFD1C8461}" name="Any difficulty" dataDxfId="91"/>
    <tableColumn id="4" xr3:uid="{F9C7F0AA-7949-0946-896D-0F16CEC06B4E}" name="Difference" dataDxfId="90"/>
    <tableColumn id="5" xr3:uid="{D9DA690D-2682-D84B-9936-637C739B4344}" name="Statistical Significance of the Difference" dataDxfId="89"/>
  </tableColumns>
  <tableStyleInfo name="TableStyleMedium2" showFirstColumn="1" showLastColumn="0" showRowStripes="1" showColumnStripes="0"/>
</table>
</file>

<file path=xl/tables/table26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7" xr:uid="{79AA595F-F7B2-9D4A-8C19-800BF40E910A}" name="Table_M1.4.b_Multidimensional_poverty_headcount_for_rural_residents_Percentage_disaggregation_b" displayName="Table_M1.4.b_Multidimensional_poverty_headcount_for_rural_residents_Percentage_disaggregation_b" ref="G59:N75" totalsRowShown="0" headerRowDxfId="88" dataDxfId="87">
  <autoFilter ref="G59:N75" xr:uid="{79AA595F-F7B2-9D4A-8C19-800BF40E910A}"/>
  <tableColumns count="8">
    <tableColumn id="1" xr3:uid="{E3ABB720-2DD3-0D48-8AE9-BCED2B6FDE5D}" name="Region" dataDxfId="86"/>
    <tableColumn id="2" xr3:uid="{10694156-FD44-EC48-A45F-63C15F6204DF}" name="No difficulty" dataDxfId="85"/>
    <tableColumn id="3" xr3:uid="{8F419FD9-761A-7C42-AF45-E2ADC7BC9E41}" name="Some difficulty" dataDxfId="84"/>
    <tableColumn id="4" xr3:uid="{026378D5-0F8F-2940-823B-1E6759715684}" name="Difference" dataDxfId="83"/>
    <tableColumn id="5" xr3:uid="{13093808-65BB-F54D-B93B-D1789CEFF9C7}" name="Statistical Significance of the Difference" dataDxfId="82"/>
    <tableColumn id="6" xr3:uid="{AF506B0B-E147-024D-8384-9D79F34DCC46}" name="At least a lot of difficulty" dataDxfId="81"/>
    <tableColumn id="7" xr3:uid="{250292B0-6705-EE4B-A9D9-DE66D1121DD7}" name="Difference No difficulty &amp; At least a lot of difficulty" dataDxfId="80"/>
    <tableColumn id="8" xr3:uid="{66ED29AE-518B-A249-8F5F-B1486AA43558}" name="Statistical Significance of the Difference (No difficulty vs At least a lot)" dataDxfId="79"/>
  </tableColumns>
  <tableStyleInfo name="TableStyleMedium2" showFirstColumn="1" showLastColumn="0" showRowStripes="1" showColumnStripes="0"/>
</table>
</file>

<file path=xl/tables/table26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8" xr:uid="{13F1A42F-6A0B-D344-B4A1-F37580F7A673}" name="Table_M1.4.c_Multidimensional_poverty_headcount_for_rural_residents_Percentage_disaggregation_c" displayName="Table_M1.4.c_Multidimensional_poverty_headcount_for_rural_residents_Percentage_disaggregation_c" ref="P59:T75" totalsRowShown="0" headerRowDxfId="78" dataDxfId="77">
  <autoFilter ref="P59:T75" xr:uid="{13F1A42F-6A0B-D344-B4A1-F37580F7A673}"/>
  <tableColumns count="5">
    <tableColumn id="1" xr3:uid="{9794C6BE-167F-9C41-A22A-BC424BD649E4}" name="Region" dataDxfId="76"/>
    <tableColumn id="2" xr3:uid="{250CA018-6A1E-034A-88BE-79AD28971D75}" name="No or some difficulty" dataDxfId="75"/>
    <tableColumn id="3" xr3:uid="{11082ACA-DCFE-E542-9C5C-E6659A956668}" name="At least a lot of difficulty" dataDxfId="74"/>
    <tableColumn id="4" xr3:uid="{10223D82-D27E-764D-97C8-7016CBB7456A}" name="Difference" dataDxfId="73"/>
    <tableColumn id="5" xr3:uid="{3ADAFF86-009A-E244-9537-3171E6320CAD}" name="Statistical Significance of the Difference" dataDxfId="72"/>
  </tableColumns>
  <tableStyleInfo name="TableStyleMedium2" showFirstColumn="1"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26268310-C1CD-EB4E-BB0C-93786EA0F25E}" name="Table_E1.1.a_Share_of_all_adults_who_have_ever_attended_school_Percentage_disaggregation_a" displayName="Table_E1.1.a_Share_of_all_adults_who_have_ever_attended_school_Percentage_disaggregation_a" ref="A2:E18" totalsRowShown="0" headerRowDxfId="2015" dataDxfId="2014">
  <autoFilter ref="A2:E18" xr:uid="{26268310-C1CD-EB4E-BB0C-93786EA0F25E}"/>
  <tableColumns count="5">
    <tableColumn id="1" xr3:uid="{50156300-5530-FE4A-8908-2780F31D739E}" name="Region" dataDxfId="2013"/>
    <tableColumn id="2" xr3:uid="{908B8C01-6241-804D-8740-6CB46E0318F3}" name="No difficulty" dataDxfId="2012"/>
    <tableColumn id="3" xr3:uid="{FFB98D0F-A6AE-9445-B87D-D93D286DE873}" name="Any difficulty" dataDxfId="2011"/>
    <tableColumn id="4" xr3:uid="{B120A59B-59AF-F343-951A-C83CA6DCBD23}" name="Difference" dataDxfId="2010"/>
    <tableColumn id="5" xr3:uid="{DA2E6500-62B0-AA4D-BE84-CCD2BB5DB32F}" name="Statistical Significance of the Difference" dataDxfId="2009">
      <calculatedColumnFormula>IF(       0&lt;0.01,"***",IF(       0&lt;0.05,"**",IF(       0&lt;0.1,"*","NS")))</calculatedColumnFormula>
    </tableColumn>
  </tableColumns>
  <tableStyleInfo name="TableStyleMedium2" showFirstColumn="1" showLastColumn="0" showRowStripes="1" showColumnStripes="0"/>
</table>
</file>

<file path=xl/tables/table27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9" xr:uid="{E30CE5B5-8CD9-9345-B274-C2A1AAF20E29}" name="Table_M1.5.a_Multidimensional_poverty_headcount_for_urban_residents_Percentage_disaggregation_a" displayName="Table_M1.5.a_Multidimensional_poverty_headcount_for_urban_residents_Percentage_disaggregation_a" ref="A78:E94" totalsRowShown="0" headerRowDxfId="71" dataDxfId="70">
  <autoFilter ref="A78:E94" xr:uid="{E30CE5B5-8CD9-9345-B274-C2A1AAF20E29}"/>
  <tableColumns count="5">
    <tableColumn id="1" xr3:uid="{C7F311B5-E446-0043-8166-7D6C37AA2E75}" name="Region" dataDxfId="69"/>
    <tableColumn id="2" xr3:uid="{9776D72F-B693-634C-9969-46A5B9A4BA29}" name="No difficulty" dataDxfId="68"/>
    <tableColumn id="3" xr3:uid="{038E43D9-51BD-AF4C-93FE-CFEDE76B5552}" name="Any difficulty" dataDxfId="67"/>
    <tableColumn id="4" xr3:uid="{5B9D12CA-BC0C-1446-B495-80079F6A0458}" name="Difference" dataDxfId="66"/>
    <tableColumn id="5" xr3:uid="{87BD2E84-92F7-A84A-8283-6983F361B829}" name="Statistical Significance of the Difference" dataDxfId="65"/>
  </tableColumns>
  <tableStyleInfo name="TableStyleMedium2" showFirstColumn="1" showLastColumn="0" showRowStripes="1" showColumnStripes="0"/>
</table>
</file>

<file path=xl/tables/table27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0" xr:uid="{FF49F091-41FA-854A-9545-25A204F732FD}" name="Table_M1.5.b_Multidimensional_poverty_headcount_for_urban_residents_Percentage_disaggregation_b" displayName="Table_M1.5.b_Multidimensional_poverty_headcount_for_urban_residents_Percentage_disaggregation_b" ref="G78:N94" totalsRowShown="0" headerRowDxfId="64" dataDxfId="63">
  <autoFilter ref="G78:N94" xr:uid="{FF49F091-41FA-854A-9545-25A204F732FD}"/>
  <tableColumns count="8">
    <tableColumn id="1" xr3:uid="{F3EE91D7-46C3-424B-AEAB-1243A35301A3}" name="Region" dataDxfId="62"/>
    <tableColumn id="2" xr3:uid="{06C5AD73-BF05-3846-8665-E90C042B0DEA}" name="No difficulty" dataDxfId="61"/>
    <tableColumn id="3" xr3:uid="{875C4140-FBE1-514F-B110-75076A168D91}" name="Some difficulty" dataDxfId="60"/>
    <tableColumn id="4" xr3:uid="{5AA4C7F5-20BC-634B-AE0A-EFD85907D717}" name="Difference" dataDxfId="59"/>
    <tableColumn id="5" xr3:uid="{ECF29906-C1D3-0543-B4CC-2F4111040922}" name="Statistical Significance of the Difference" dataDxfId="58"/>
    <tableColumn id="6" xr3:uid="{8453869A-74EA-AE46-B653-301D082D3DF9}" name="At least a lot of difficulty" dataDxfId="57"/>
    <tableColumn id="7" xr3:uid="{24A94AA4-AEFE-054A-BA1C-81060294A151}" name="Difference No difficulty &amp; At least a lot of difficulty" dataDxfId="56"/>
    <tableColumn id="8" xr3:uid="{22CE8BD6-953C-5E40-AB17-C5068241E6E3}" name="Statistical Significance of the Difference (No difficulty vs At least a lot)" dataDxfId="55"/>
  </tableColumns>
  <tableStyleInfo name="TableStyleMedium2" showFirstColumn="1" showLastColumn="0" showRowStripes="1" showColumnStripes="0"/>
</table>
</file>

<file path=xl/tables/table27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1" xr:uid="{7122FF77-7A7B-D141-A393-D1DD99BDE6DD}" name="Table_M1.5.c_Multidimensional_poverty_headcount_for_urban_residents_Percentage_disaggregation_c" displayName="Table_M1.5.c_Multidimensional_poverty_headcount_for_urban_residents_Percentage_disaggregation_c" ref="P78:T94" totalsRowShown="0" headerRowDxfId="54" dataDxfId="53">
  <autoFilter ref="P78:T94" xr:uid="{7122FF77-7A7B-D141-A393-D1DD99BDE6DD}"/>
  <tableColumns count="5">
    <tableColumn id="1" xr3:uid="{190333F0-F51F-0F45-A9F4-373F4407D706}" name="Region" dataDxfId="52"/>
    <tableColumn id="2" xr3:uid="{1DF75C11-A390-114C-9C39-D8865B4F5330}" name="No or some difficulty" dataDxfId="51"/>
    <tableColumn id="3" xr3:uid="{C7A51D96-DD74-5345-994F-BE6C0FF63F6E}" name="At least a lot of difficulty" dataDxfId="50"/>
    <tableColumn id="4" xr3:uid="{9E32A843-2346-2C43-A3DD-87C39E701ABB}" name="Difference" dataDxfId="49"/>
    <tableColumn id="5" xr3:uid="{84EF7BB4-BDC8-DC45-9BE0-D62E954E6C7B}" name="Statistical Significance of the Difference" dataDxfId="48"/>
  </tableColumns>
  <tableStyleInfo name="TableStyleMedium2" showFirstColumn="1" showLastColumn="0" showRowStripes="1" showColumnStripes="0"/>
</table>
</file>

<file path=xl/tables/table27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2" xr:uid="{C9FCAAD3-DA11-4D4F-AD1F-56A9412C2208}" name="Table_M1.6.a_Multidimensional_poverty_headcount_for_adults_ages_15_to_44_Percentage_disaggregation_a" displayName="Table_M1.6.a_Multidimensional_poverty_headcount_for_adults_ages_15_to_44_Percentage_disaggregation_a" ref="A97:E113" totalsRowShown="0" headerRowDxfId="47" dataDxfId="46">
  <autoFilter ref="A97:E113" xr:uid="{C9FCAAD3-DA11-4D4F-AD1F-56A9412C2208}"/>
  <tableColumns count="5">
    <tableColumn id="1" xr3:uid="{4BD3DE6A-9DE1-4340-909D-9F2FD3432363}" name="Region" dataDxfId="45"/>
    <tableColumn id="2" xr3:uid="{9B0D2F38-1BEB-864A-BEE2-C3A87E084250}" name="No difficulty" dataDxfId="44"/>
    <tableColumn id="3" xr3:uid="{0AE9A816-B0F4-CE40-B67F-C9F5BB7A1633}" name="Any difficulty" dataDxfId="43"/>
    <tableColumn id="4" xr3:uid="{86D9B71B-F3AA-1649-936D-621AC1450BE1}" name="Difference" dataDxfId="42"/>
    <tableColumn id="5" xr3:uid="{2A5AE75C-BD46-8545-812E-EE1655885ADC}" name="Statistical Significance of the Difference" dataDxfId="41"/>
  </tableColumns>
  <tableStyleInfo name="TableStyleMedium2" showFirstColumn="1" showLastColumn="0" showRowStripes="1" showColumnStripes="0"/>
</table>
</file>

<file path=xl/tables/table27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3" xr:uid="{8FD392B2-2573-3D40-9A40-FCB64C5F20FD}" name="Table_M1.6.b_Multidimensional_poverty_headcount_for_adults_ages_15_to_44_Percentage_disaggregation_b" displayName="Table_M1.6.b_Multidimensional_poverty_headcount_for_adults_ages_15_to_44_Percentage_disaggregation_b" ref="G97:N113" totalsRowShown="0" headerRowDxfId="40" dataDxfId="39">
  <autoFilter ref="G97:N113" xr:uid="{8FD392B2-2573-3D40-9A40-FCB64C5F20FD}"/>
  <tableColumns count="8">
    <tableColumn id="1" xr3:uid="{F68B3098-311B-3041-AD73-D0F31987E1EC}" name="Region" dataDxfId="38"/>
    <tableColumn id="2" xr3:uid="{4F955681-E182-094F-8CEA-578A2B436E03}" name="No difficulty" dataDxfId="37"/>
    <tableColumn id="3" xr3:uid="{18742032-6FE4-714E-B156-2B00F6FF7B7A}" name="Some difficulty" dataDxfId="36"/>
    <tableColumn id="4" xr3:uid="{ABDF5ADF-E5A8-7A40-AF57-2B35A2680E41}" name="Difference" dataDxfId="35"/>
    <tableColumn id="5" xr3:uid="{A8079544-62D6-7940-8C84-7B58DFFF9C0F}" name="Statistical Significance of the Difference" dataDxfId="34"/>
    <tableColumn id="6" xr3:uid="{6B895180-5359-9E45-82C5-982D3FBE2676}" name="At least a lot of difficulty" dataDxfId="33"/>
    <tableColumn id="7" xr3:uid="{4E484E6B-9CC0-3F4E-8184-AB69F901FFD6}" name="Difference No difficulty &amp; At least a lot of difficulty" dataDxfId="32"/>
    <tableColumn id="8" xr3:uid="{E98C65FE-E7D5-D548-B5D4-8DB32E206C1A}" name="Statistical Significance of the Difference (No difficulty vs At least a lot)" dataDxfId="31"/>
  </tableColumns>
  <tableStyleInfo name="TableStyleMedium2" showFirstColumn="1" showLastColumn="0" showRowStripes="1" showColumnStripes="0"/>
</table>
</file>

<file path=xl/tables/table27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4" xr:uid="{B4AF94C7-5D90-034A-8926-280AE6727F11}" name="Table_M1.6.c_Multidimensional_poverty_headcount_for_adults_ages_15_to_44_Percentage_disaggregation_c" displayName="Table_M1.6.c_Multidimensional_poverty_headcount_for_adults_ages_15_to_44_Percentage_disaggregation_c" ref="P97:T113" totalsRowShown="0" headerRowDxfId="30" dataDxfId="29">
  <autoFilter ref="P97:T113" xr:uid="{B4AF94C7-5D90-034A-8926-280AE6727F11}"/>
  <tableColumns count="5">
    <tableColumn id="1" xr3:uid="{31FCAD6C-3862-274B-BC6A-B786775CF0DA}" name="Region" dataDxfId="28"/>
    <tableColumn id="2" xr3:uid="{818ADB15-EF36-0C4D-9A69-C73B630D8F1C}" name="No or some difficulty" dataDxfId="27"/>
    <tableColumn id="3" xr3:uid="{FF16E9FB-ACFA-DD4D-A96C-AFC551130032}" name="At least a lot of difficulty" dataDxfId="26"/>
    <tableColumn id="4" xr3:uid="{A0E916FB-6CDB-8144-9B40-0D19CEA746FF}" name="Difference" dataDxfId="25"/>
    <tableColumn id="5" xr3:uid="{AD89D3A3-28E9-E34F-84F8-2A8EDA8FB931}" name="Statistical Significance of the Difference" dataDxfId="24"/>
  </tableColumns>
  <tableStyleInfo name="TableStyleMedium2" showFirstColumn="1" showLastColumn="0" showRowStripes="1" showColumnStripes="0"/>
</table>
</file>

<file path=xl/tables/table27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5" xr:uid="{B05B51B0-BE1C-4343-8940-DE59B1B1F669}" name="Table_M1.7.a_Multidimensional_poverty_headcount_for_adults_ages_45_and_older_Percentage_disaggregation_a" displayName="Table_M1.7.a_Multidimensional_poverty_headcount_for_adults_ages_45_and_older_Percentage_disaggregation_a" ref="A116:E132" totalsRowShown="0" headerRowDxfId="23" dataDxfId="22">
  <autoFilter ref="A116:E132" xr:uid="{B05B51B0-BE1C-4343-8940-DE59B1B1F669}"/>
  <tableColumns count="5">
    <tableColumn id="1" xr3:uid="{4EC8E6FA-C4FC-3A43-9D94-2E95AB455671}" name="Region" dataDxfId="21"/>
    <tableColumn id="2" xr3:uid="{C880B52C-3296-FC44-BB3E-99B06AD8178F}" name="No difficulty" dataDxfId="20"/>
    <tableColumn id="3" xr3:uid="{54274E1D-E5C7-844B-BAD7-1E07EDDB344B}" name="Any difficulty" dataDxfId="19"/>
    <tableColumn id="4" xr3:uid="{0DD02AB9-1703-0D46-AC39-C8F9A99D6635}" name="Difference" dataDxfId="18"/>
    <tableColumn id="5" xr3:uid="{AFA01C0D-5D11-D541-BD2A-8CD8665492E0}" name="Statistical Significance of the Difference" dataDxfId="17"/>
  </tableColumns>
  <tableStyleInfo name="TableStyleMedium2" showFirstColumn="1" showLastColumn="0" showRowStripes="1" showColumnStripes="0"/>
</table>
</file>

<file path=xl/tables/table27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6" xr:uid="{55DECEC6-6313-F946-91B1-824FD3C8C99D}" name="Table_M1.7.b_Multidimensional_poverty_headcount_for_adults_ages_45_and_older_Percentage_disaggregation_b" displayName="Table_M1.7.b_Multidimensional_poverty_headcount_for_adults_ages_45_and_older_Percentage_disaggregation_b" ref="G116:N132" totalsRowShown="0" headerRowDxfId="16" dataDxfId="15">
  <autoFilter ref="G116:N132" xr:uid="{55DECEC6-6313-F946-91B1-824FD3C8C99D}"/>
  <tableColumns count="8">
    <tableColumn id="1" xr3:uid="{E11539A8-6FA4-5148-9B81-E3822A39A70D}" name="Region" dataDxfId="14"/>
    <tableColumn id="2" xr3:uid="{7B8AE245-AACE-654A-A972-918ACE23DC30}" name="No difficulty" dataDxfId="13"/>
    <tableColumn id="3" xr3:uid="{FD3921E5-44B6-C24D-B746-0ED8DDD00A97}" name="Some difficulty" dataDxfId="12"/>
    <tableColumn id="4" xr3:uid="{3EA27EAC-C8F3-4649-B38C-B350F39B61DA}" name="Difference" dataDxfId="11"/>
    <tableColumn id="5" xr3:uid="{6762A8A5-A0FB-804E-AD4B-EFC08FAC7096}" name="Statistical Significance of the Difference" dataDxfId="10"/>
    <tableColumn id="6" xr3:uid="{4181713E-A943-D84D-BB78-A15648E2130C}" name="At least a lot of difficulty" dataDxfId="9"/>
    <tableColumn id="7" xr3:uid="{46EDE1E3-824A-3E40-A5A6-9723437DCD3D}" name="Difference No difficulty &amp; At least a lot of difficulty" dataDxfId="8"/>
    <tableColumn id="8" xr3:uid="{EF4E134C-97FD-F14E-8281-61103CC49EDD}" name="Statistical Significance of the Difference (No difficulty vs At least a lot)" dataDxfId="7"/>
  </tableColumns>
  <tableStyleInfo name="TableStyleMedium2" showFirstColumn="1" showLastColumn="0" showRowStripes="1" showColumnStripes="0"/>
</table>
</file>

<file path=xl/tables/table27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7" xr:uid="{D58C17B1-2822-8A4E-88F9-3B08FFA0D09B}" name="Table_M1.7.c_Multidimensional_poverty_headcount_for_adults_ages_45_and_older_Percentage_disaggregation_c" displayName="Table_M1.7.c_Multidimensional_poverty_headcount_for_adults_ages_45_and_older_Percentage_disaggregation_c" ref="P116:T132" totalsRowShown="0" headerRowDxfId="6" dataDxfId="5">
  <autoFilter ref="P116:T132" xr:uid="{D58C17B1-2822-8A4E-88F9-3B08FFA0D09B}"/>
  <tableColumns count="5">
    <tableColumn id="1" xr3:uid="{64D2ABFD-51FD-484E-A1FF-4C3F6EDB24B7}" name="Region" dataDxfId="4"/>
    <tableColumn id="2" xr3:uid="{511CDEF3-E17D-6E4B-9FF9-A073E366150C}" name="No or some difficulty" dataDxfId="3"/>
    <tableColumn id="3" xr3:uid="{03C18DC8-F933-D647-B5E6-0C05CBAD6F56}" name="At least a lot of difficulty" dataDxfId="2"/>
    <tableColumn id="4" xr3:uid="{DEB5042A-7E8C-4C4D-8D18-41EB1779D8A6}" name="Difference" dataDxfId="1"/>
    <tableColumn id="5" xr3:uid="{E4456E12-12CD-064A-BF68-D957EA8B5E67}" name="Statistical Significance of the Difference" dataDxfId="0"/>
  </tableColumns>
  <tableStyleInfo name="TableStyleMedium2" showFirstColumn="1"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29C52E4F-6DEB-924F-AF7C-9F7C0A3FE1BA}" name="Table_E1.1.b_Share_of_all_adults_who_have_ever_attended_school_Percentage_disaggregation_b" displayName="Table_E1.1.b_Share_of_all_adults_who_have_ever_attended_school_Percentage_disaggregation_b" ref="G2:N18" totalsRowShown="0" headerRowDxfId="2008" dataDxfId="2007">
  <autoFilter ref="G2:N18" xr:uid="{29C52E4F-6DEB-924F-AF7C-9F7C0A3FE1BA}"/>
  <tableColumns count="8">
    <tableColumn id="1" xr3:uid="{F2BE357A-303C-9C43-B1BE-F9D3EAF5823B}" name="Region" dataDxfId="2006"/>
    <tableColumn id="2" xr3:uid="{C8EE0DEB-0514-AF41-A04F-A53510A59E9C}" name="No difficulty" dataDxfId="2005"/>
    <tableColumn id="3" xr3:uid="{B974BAAF-1E91-D64C-A6C0-D4103996DBE7}" name="Some difficulty" dataDxfId="2004"/>
    <tableColumn id="4" xr3:uid="{51FCAC7C-EBF8-454C-8274-6FA8D8E5EFC8}" name="Difference" dataDxfId="2003"/>
    <tableColumn id="5" xr3:uid="{DA4B5FA1-C9BB-034B-8595-4B27A5BE5291}" name="Statistical Significance of the Difference" dataDxfId="2002">
      <calculatedColumnFormula>IF(       0&lt;0.01,"***",IF(       0&lt;0.05,"**",IF(       0&lt;0.1,"*","NS")))</calculatedColumnFormula>
    </tableColumn>
    <tableColumn id="6" xr3:uid="{36A6F5D1-3B67-BA43-B94C-24404F6A1D75}" name="At least a lot of difficulty" dataDxfId="2001"/>
    <tableColumn id="7" xr3:uid="{C72BA701-3332-1F46-B892-46B01CC4BF03}" name="Difference No difficulty &amp; At least a lot of difficulty" dataDxfId="2000"/>
    <tableColumn id="8" xr3:uid="{95D13A30-91FB-3F4A-BCBE-4839C8987992}" name="Statistical Significance of the Difference (No difficulty vs At least a lot)" dataDxfId="1999">
      <calculatedColumnFormula>IF(       0&lt;0.01,"***",IF(       0&lt;0.05,"**",IF(       0&lt;0.1,"*","NS")))</calculatedColumnFormula>
    </tableColumn>
  </tableColumns>
  <tableStyleInfo name="TableStyleMedium2" showFirstColumn="1"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97B2724D-DC52-BE45-B42A-AA2E0EC4080F}" name="Table_E1.1.c_Share_of_all_adults_who_have_ever_attended_school_Percentage_disaggregation_c" displayName="Table_E1.1.c_Share_of_all_adults_who_have_ever_attended_school_Percentage_disaggregation_c" ref="P2:T18" totalsRowShown="0" headerRowDxfId="1998" dataDxfId="1997">
  <autoFilter ref="P2:T18" xr:uid="{97B2724D-DC52-BE45-B42A-AA2E0EC4080F}"/>
  <tableColumns count="5">
    <tableColumn id="1" xr3:uid="{69C99574-2B41-7849-BFDC-6A7154BBCB1B}" name="Region" dataDxfId="1996"/>
    <tableColumn id="2" xr3:uid="{3344B5F4-CFA5-6340-88FD-27C9766CFEFC}" name="No or some difficulty" dataDxfId="1995"/>
    <tableColumn id="3" xr3:uid="{D6E9260C-3152-B347-B0B0-D04C0AEC43FB}" name="At least a lot of difficulty" dataDxfId="1994"/>
    <tableColumn id="4" xr3:uid="{B60793CB-182B-A04C-86E8-3C7AA596A062}" name="Difference" dataDxfId="1993"/>
    <tableColumn id="5" xr3:uid="{9424A888-3ABB-8A44-938A-21DF00D96069}" name="Statistical Significance of the Difference" dataDxfId="1992">
      <calculatedColumnFormula>IF(       0&lt;0.01,"***",IF(       0&lt;0.05,"**",IF(       0&lt;0.1,"*","NS")))</calculatedColumnFormula>
    </tableColumn>
  </tableColumns>
  <tableStyleInfo name="TableStyleMedium2"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01A3BC6-8D56-7048-9992-A67A486AF294}" name="Table_P1.2_Share_of_females_with_functional_difficulties_Percentage" displayName="Table_P1.2_Share_of_females_with_functional_difficulties_Percentage" ref="A21:D37" totalsRowShown="0" headerRowDxfId="2216" dataDxfId="2215">
  <autoFilter ref="A21:D37" xr:uid="{E01A3BC6-8D56-7048-9992-A67A486AF294}"/>
  <tableColumns count="4">
    <tableColumn id="1" xr3:uid="{7DADD3FD-13A2-7B48-A7C0-3D9FF6CA2D88}" name="Region" dataDxfId="2214"/>
    <tableColumn id="2" xr3:uid="{D87830E0-61DD-5C42-8FD7-AD69CBA9F863}" name="Any difficulty" dataDxfId="2213"/>
    <tableColumn id="3" xr3:uid="{ACDBB59D-8D17-964F-8E9F-3EDBBA1E5636}" name="Some difficulty" dataDxfId="2212"/>
    <tableColumn id="4" xr3:uid="{45BCF83A-6952-3E47-8AA0-A597AA9A4BFA}" name="At least a lot of difficulty" dataDxfId="2211"/>
  </tableColumns>
  <tableStyleInfo name="TableStyleMedium2" showFirstColumn="1"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F7A8F423-E446-2643-937B-B5A14C714C40}" name="Table_E1.2.a_Share_of_females_who_have_ever_attended_school_Percentage_disaggregation_a" displayName="Table_E1.2.a_Share_of_females_who_have_ever_attended_school_Percentage_disaggregation_a" ref="A21:E37" totalsRowShown="0" headerRowDxfId="1991" dataDxfId="1990">
  <autoFilter ref="A21:E37" xr:uid="{F7A8F423-E446-2643-937B-B5A14C714C40}"/>
  <tableColumns count="5">
    <tableColumn id="1" xr3:uid="{89634A54-61E2-9643-A1A2-CE1C86C9FE02}" name="Region" dataDxfId="1989"/>
    <tableColumn id="2" xr3:uid="{A77B4279-DF98-8644-B571-456D64E372D0}" name="No difficulty" dataDxfId="1988"/>
    <tableColumn id="3" xr3:uid="{480D39F2-17AD-3342-991C-100D884F21CF}" name="Any difficulty" dataDxfId="1987"/>
    <tableColumn id="4" xr3:uid="{915CBF32-DCA6-DC42-AB22-D9D2DCECE2EF}" name="Difference" dataDxfId="1986"/>
    <tableColumn id="5" xr3:uid="{08EE22DB-111D-5E41-9BB8-015547851585}" name="Statistical Significance of the Difference" dataDxfId="1985">
      <calculatedColumnFormula>IF(       0&lt;0.01,"***",IF(       0&lt;0.05,"**",IF(       0&lt;0.1,"*","NS")))</calculatedColumnFormula>
    </tableColumn>
  </tableColumns>
  <tableStyleInfo name="TableStyleMedium2" showFirstColumn="1"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9DC7E9BA-37E7-8C44-A82C-83F562291167}" name="Table_E1.2.b_Share_of_females_who_have_ever_attended_school_Percentage_disaggregation_b" displayName="Table_E1.2.b_Share_of_females_who_have_ever_attended_school_Percentage_disaggregation_b" ref="G21:N37" totalsRowShown="0" headerRowDxfId="1984" dataDxfId="1983">
  <autoFilter ref="G21:N37" xr:uid="{9DC7E9BA-37E7-8C44-A82C-83F562291167}"/>
  <tableColumns count="8">
    <tableColumn id="1" xr3:uid="{430F93D1-E68E-754B-A71A-57D80C6CF441}" name="Region" dataDxfId="1982"/>
    <tableColumn id="2" xr3:uid="{4509AF85-F567-9540-810C-7625D216A071}" name="No difficulty" dataDxfId="1981"/>
    <tableColumn id="3" xr3:uid="{5083EB33-11C8-2F48-A5C5-9249667BC6B2}" name="Some difficulty" dataDxfId="1980"/>
    <tableColumn id="4" xr3:uid="{CAEE4BD2-8438-DD47-884A-15A81ACFF60E}" name="Difference" dataDxfId="1979"/>
    <tableColumn id="5" xr3:uid="{5BF6FA18-8E27-6A45-8842-C86762DD5B98}" name="Statistical Significance of the Difference" dataDxfId="1978">
      <calculatedColumnFormula>IF(       0&lt;0.01,"***",IF(       0&lt;0.05,"**",IF(       0&lt;0.1,"*","NS")))</calculatedColumnFormula>
    </tableColumn>
    <tableColumn id="6" xr3:uid="{4B213701-DB62-2A40-807A-57D33BB9D673}" name="At least a lot of difficulty" dataDxfId="1977"/>
    <tableColumn id="7" xr3:uid="{1B338ED3-C0E3-D441-9902-81325DF2A13E}" name="Difference No difficulty &amp; At least a lot of difficulty" dataDxfId="1976"/>
    <tableColumn id="8" xr3:uid="{C98E9F64-44EE-C647-863D-DCB42122DA27}" name="Statistical Significance of the Difference (No difficulty vs At least a lot)" dataDxfId="1975">
      <calculatedColumnFormula>IF(       0&lt;0.01,"***",IF(       0&lt;0.05,"**",IF(       0&lt;0.1,"*","NS")))</calculatedColumnFormula>
    </tableColumn>
  </tableColumns>
  <tableStyleInfo name="TableStyleMedium2" showFirstColumn="1"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917E2A5-4F00-0F4F-B55E-D1D901F28067}" name="Table_E1.2.c_Share_of_females_who_have_ever_attended_school_Percentage_disaggregation_c" displayName="Table_E1.2.c_Share_of_females_who_have_ever_attended_school_Percentage_disaggregation_c" ref="P21:T37" totalsRowShown="0" headerRowDxfId="1974" dataDxfId="1973">
  <autoFilter ref="P21:T37" xr:uid="{0917E2A5-4F00-0F4F-B55E-D1D901F28067}"/>
  <tableColumns count="5">
    <tableColumn id="1" xr3:uid="{4CCF9FCE-E9D1-5D45-A5C2-739E0A14C68B}" name="Region" dataDxfId="1972"/>
    <tableColumn id="2" xr3:uid="{F7457ADF-B481-1C45-B5C0-F9B18704E8C5}" name="No or some difficulty" dataDxfId="1971"/>
    <tableColumn id="3" xr3:uid="{AE7524A2-0BF1-2743-8924-F944FBBD52A3}" name="At least a lot of difficulty" dataDxfId="1970"/>
    <tableColumn id="4" xr3:uid="{84F98BD9-D93C-D14B-A692-868602B50BCE}" name="Difference" dataDxfId="1969"/>
    <tableColumn id="5" xr3:uid="{001A2AD3-7610-074F-9315-5096042B29E7}" name="Statistical Significance of the Difference" dataDxfId="1968">
      <calculatedColumnFormula>IF(       0&lt;0.01,"***",IF(       0&lt;0.05,"**",IF(       0&lt;0.1,"*","NS")))</calculatedColumnFormula>
    </tableColumn>
  </tableColumns>
  <tableStyleInfo name="TableStyleMedium2" showFirstColumn="1"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5137A77A-C9CC-8D4A-B5F6-1896F8D9C8D3}" name="Table_E1.3.a_Share_of_males_who_have_ever_attended_school_Percentage_disaggregation_a" displayName="Table_E1.3.a_Share_of_males_who_have_ever_attended_school_Percentage_disaggregation_a" ref="A40:E56" totalsRowShown="0" headerRowDxfId="1967" dataDxfId="1966">
  <autoFilter ref="A40:E56" xr:uid="{5137A77A-C9CC-8D4A-B5F6-1896F8D9C8D3}"/>
  <tableColumns count="5">
    <tableColumn id="1" xr3:uid="{9DF239DF-2D9E-3440-AC5C-C1B6C44E9EED}" name="Region" dataDxfId="1965"/>
    <tableColumn id="2" xr3:uid="{F740F2DA-F440-0E43-936F-8E24F551AF5A}" name="No difficulty" dataDxfId="1964"/>
    <tableColumn id="3" xr3:uid="{77BEB929-CC95-D043-ADEA-213659334E95}" name="Any difficulty" dataDxfId="1963"/>
    <tableColumn id="4" xr3:uid="{870FF494-050A-F747-8BF5-F622892D6E01}" name="Difference" dataDxfId="1962"/>
    <tableColumn id="5" xr3:uid="{72A5068A-2D74-5444-8E74-F6DFA00412AB}" name="Statistical Significance of the Difference" dataDxfId="1961"/>
  </tableColumns>
  <tableStyleInfo name="TableStyleMedium2" showFirstColumn="1"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47C13D85-5CAC-B949-823F-77B555514C7E}" name="Table_E1.3.b_Share_of_males_who_have_ever_attended_school_Percentage_disaggregation_b" displayName="Table_E1.3.b_Share_of_males_who_have_ever_attended_school_Percentage_disaggregation_b" ref="G40:N56" totalsRowShown="0" headerRowDxfId="1960" dataDxfId="1959">
  <autoFilter ref="G40:N56" xr:uid="{47C13D85-5CAC-B949-823F-77B555514C7E}"/>
  <tableColumns count="8">
    <tableColumn id="1" xr3:uid="{596E8BCB-1B7B-694E-A3A7-2546E4579A62}" name="Region" dataDxfId="1958"/>
    <tableColumn id="2" xr3:uid="{06CA77D7-6879-1B4F-A3D1-2D763EC4C2B3}" name="No difficulty" dataDxfId="1957"/>
    <tableColumn id="3" xr3:uid="{C1CB8A10-64FD-3A4D-91B4-55714495B413}" name="Some difficulty" dataDxfId="1956"/>
    <tableColumn id="4" xr3:uid="{B1A1202E-D2F6-8E4E-B517-A8982163FA3A}" name="Difference" dataDxfId="1955"/>
    <tableColumn id="5" xr3:uid="{4BE54CD3-858D-E246-AF72-A79069FB777D}" name="Statistical Significance of the Difference" dataDxfId="1954"/>
    <tableColumn id="6" xr3:uid="{3840F421-0A0E-6246-BA6D-845511080377}" name="At least a lot of difficulty" dataDxfId="1953"/>
    <tableColumn id="7" xr3:uid="{8A0AA7C7-458C-B44C-A313-CE8A36038B74}" name="Difference No difficulty &amp; At least a lot of difficulty" dataDxfId="1952"/>
    <tableColumn id="8" xr3:uid="{1160B702-F824-894B-AC59-37D7F7CBFDAB}" name="Statistical Significance of the Difference (No difficulty vs At least a lot)" dataDxfId="1951"/>
  </tableColumns>
  <tableStyleInfo name="TableStyleMedium2" showFirstColumn="1"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C590EB21-821C-1740-9359-3A7AB8EFA507}" name="Table_E1.3.c_Share_of_males_who_have_ever_attended_school_Percentage_disaggregation_c" displayName="Table_E1.3.c_Share_of_males_who_have_ever_attended_school_Percentage_disaggregation_c" ref="P40:T56" totalsRowShown="0" headerRowDxfId="1950" dataDxfId="1949">
  <autoFilter ref="P40:T56" xr:uid="{C590EB21-821C-1740-9359-3A7AB8EFA507}"/>
  <tableColumns count="5">
    <tableColumn id="1" xr3:uid="{FD50C61B-A0E7-BC4F-80DB-47171FC33AB2}" name="Region" dataDxfId="1948"/>
    <tableColumn id="2" xr3:uid="{3DAABB72-862F-7343-B01A-7DEFB39BBBE8}" name="No or some difficulty" dataDxfId="1947"/>
    <tableColumn id="3" xr3:uid="{55CA8F91-336E-5140-A4FA-DAFE52BB0DFF}" name="At least a lot of difficulty" dataDxfId="1946"/>
    <tableColumn id="4" xr3:uid="{899C7AC8-F4A7-F84E-A7F1-9674126015D7}" name="Difference" dataDxfId="1945"/>
    <tableColumn id="5" xr3:uid="{52FE8509-C299-BE47-A465-1571EF861B29}" name="Statistical Significance of the Difference" dataDxfId="1944"/>
  </tableColumns>
  <tableStyleInfo name="TableStyleMedium2" showFirstColumn="1"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1E0E12F9-C625-F44E-97CD-45323DAE27F3}" name="Table_E1.4.a_Share_of_rural_residents_who_have_ever_attended_school_Percentage_disaggregation_a" displayName="Table_E1.4.a_Share_of_rural_residents_who_have_ever_attended_school_Percentage_disaggregation_a" ref="A59:E75" totalsRowShown="0" headerRowDxfId="1943" dataDxfId="1942">
  <autoFilter ref="A59:E75" xr:uid="{1E0E12F9-C625-F44E-97CD-45323DAE27F3}"/>
  <tableColumns count="5">
    <tableColumn id="1" xr3:uid="{EE53B614-1719-FC43-8609-24858EA4C292}" name="Region" dataDxfId="1941"/>
    <tableColumn id="2" xr3:uid="{9C25F4E7-E6F1-F044-BB7D-B507B33C7215}" name="No difficulty" dataDxfId="1940"/>
    <tableColumn id="3" xr3:uid="{34679E4C-999B-E54C-AC6C-F37CD01D614D}" name="Any difficulty" dataDxfId="1939"/>
    <tableColumn id="4" xr3:uid="{0CA73075-7ECA-394B-A5B5-82FDB5957EED}" name="Difference" dataDxfId="1938"/>
    <tableColumn id="5" xr3:uid="{A6E98D6B-64A0-F941-BE45-83E5B2D12FBF}" name="Statistical Significance of the Difference" dataDxfId="1937">
      <calculatedColumnFormula>IF(       0&lt;0.01,"***",IF(       0&lt;0.05,"**",IF(       0&lt;0.1,"*","NS")))</calculatedColumnFormula>
    </tableColumn>
  </tableColumns>
  <tableStyleInfo name="TableStyleMedium2" showFirstColumn="1"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67E5F25E-096F-6E4B-A41C-FA9F0A80E18E}" name="Table_E1.4.b_Share_of_rural_residents_who_have_ever_attended_school_Percentage_disaggregation_b" displayName="Table_E1.4.b_Share_of_rural_residents_who_have_ever_attended_school_Percentage_disaggregation_b" ref="G59:N75" totalsRowShown="0" headerRowDxfId="1936" dataDxfId="1935">
  <autoFilter ref="G59:N75" xr:uid="{67E5F25E-096F-6E4B-A41C-FA9F0A80E18E}"/>
  <tableColumns count="8">
    <tableColumn id="1" xr3:uid="{69686B68-7AA7-7545-9268-56B39C496CDA}" name="Region" dataDxfId="1934"/>
    <tableColumn id="2" xr3:uid="{529C0656-85D8-3A49-9F17-140FCA0DE403}" name="No difficulty" dataDxfId="1933"/>
    <tableColumn id="3" xr3:uid="{A9CE0D30-91E1-C14D-AA7A-8EED7BFE2C1F}" name="Some difficulty" dataDxfId="1932"/>
    <tableColumn id="4" xr3:uid="{59DE748E-EC3A-6542-8DA1-AEA8569DD501}" name="Difference" dataDxfId="1931"/>
    <tableColumn id="5" xr3:uid="{AF6E2277-0D90-6A4D-AF9C-1FC425090195}" name="Statistical Significance of the Difference" dataDxfId="1930">
      <calculatedColumnFormula>IF(       0&lt;0.01,"***",IF(       0&lt;0.05,"**",IF(       0&lt;0.1,"*","NS")))</calculatedColumnFormula>
    </tableColumn>
    <tableColumn id="6" xr3:uid="{97DF4FEA-6479-D64B-B687-9608FC870FB9}" name="At least a lot of difficulty" dataDxfId="1929"/>
    <tableColumn id="7" xr3:uid="{AC27A991-DFAB-5C48-B986-97F849DE560D}" name="Difference No difficulty &amp; At least a lot of difficulty" dataDxfId="1928"/>
    <tableColumn id="8" xr3:uid="{9989ABB5-583B-C340-8659-5E504A2C731A}" name="Statistical Significance of the Difference (No difficulty vs At least a lot)" dataDxfId="1927">
      <calculatedColumnFormula>IF(       0&lt;0.01,"***",IF(       0&lt;0.05,"**",IF(       0&lt;0.1,"*","NS")))</calculatedColumnFormula>
    </tableColumn>
  </tableColumns>
  <tableStyleInfo name="TableStyleMedium2" showFirstColumn="1"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5FAE39A-059B-AE44-B5E3-093D25401EE6}" name="Table_E1.4.c_Share_of_rural_residents_who_have_ever_attended_school_Percentage_disaggregation_c" displayName="Table_E1.4.c_Share_of_rural_residents_who_have_ever_attended_school_Percentage_disaggregation_c" ref="P59:T75" totalsRowShown="0" headerRowDxfId="1926" dataDxfId="1925">
  <autoFilter ref="P59:T75" xr:uid="{05FAE39A-059B-AE44-B5E3-093D25401EE6}"/>
  <tableColumns count="5">
    <tableColumn id="1" xr3:uid="{9E4A7012-3ADD-4E49-988A-0C1A9565C0F3}" name="Region" dataDxfId="1924"/>
    <tableColumn id="2" xr3:uid="{CB3BAF89-1736-774F-86DE-E0108236EC4D}" name="No or some difficulty" dataDxfId="1923"/>
    <tableColumn id="3" xr3:uid="{6184B6B9-A303-7349-8AF3-8B14A1E2FA53}" name="At least a lot of difficulty" dataDxfId="1922"/>
    <tableColumn id="4" xr3:uid="{3CA77D5C-2041-D742-B539-41A4A9401633}" name="Difference" dataDxfId="1921"/>
    <tableColumn id="5" xr3:uid="{FC322E8A-D5E7-C446-8261-D79E1AE321BA}" name="Statistical Significance of the Difference" dataDxfId="1920">
      <calculatedColumnFormula>IF(       0&lt;0.01,"***",IF(       0&lt;0.05,"**",IF(       0&lt;0.1,"*","NS")))</calculatedColumnFormula>
    </tableColumn>
  </tableColumns>
  <tableStyleInfo name="TableStyleMedium2" showFirstColumn="1"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E8883695-3CD0-BC44-90F8-82F1BF68C27B}" name="Table_E1.5.a_Share_of_urban_residents_who_have_ever_attended_school_Percentage_disaggregation_a" displayName="Table_E1.5.a_Share_of_urban_residents_who_have_ever_attended_school_Percentage_disaggregation_a" ref="A78:E94" totalsRowShown="0" headerRowDxfId="1919" dataDxfId="1918">
  <autoFilter ref="A78:E94" xr:uid="{E8883695-3CD0-BC44-90F8-82F1BF68C27B}"/>
  <tableColumns count="5">
    <tableColumn id="1" xr3:uid="{0ECB1A8C-A6D8-4D48-A48D-67EF5E97DBBC}" name="Region" dataDxfId="1917"/>
    <tableColumn id="2" xr3:uid="{13DF1CB2-6FEC-CE4C-8C82-3CEFE48690CA}" name="No difficulty" dataDxfId="1916"/>
    <tableColumn id="3" xr3:uid="{C2B22C04-35AB-4A43-9F6D-579FB186E6D6}" name="Any difficulty" dataDxfId="1915"/>
    <tableColumn id="4" xr3:uid="{6CF90461-FCF8-684F-AAC9-DE1D3CDB9515}" name="Difference" dataDxfId="1914"/>
    <tableColumn id="5" xr3:uid="{FEFC72EA-904D-E142-857A-07728D39B210}" name="Statistical Significance of the Difference" dataDxfId="1913"/>
  </tableColumns>
  <tableStyleInfo name="TableStyleMedium2"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D991FD3-9E97-0E49-B4CD-5B55D989E68C}" name="Table_P1.3_Share_of_males_with_functional_difficulties_Percentage" displayName="Table_P1.3_Share_of_males_with_functional_difficulties_Percentage" ref="A40:D56" totalsRowShown="0" headerRowDxfId="2210" dataDxfId="2209">
  <autoFilter ref="A40:D56" xr:uid="{8D991FD3-9E97-0E49-B4CD-5B55D989E68C}"/>
  <tableColumns count="4">
    <tableColumn id="1" xr3:uid="{3F9160D8-5CEA-6F4F-B361-68CE45113827}" name="Region" dataDxfId="2208"/>
    <tableColumn id="2" xr3:uid="{F2448ED3-7480-BD4F-B80D-D0A80194E825}" name="Any difficulty" dataDxfId="2207"/>
    <tableColumn id="3" xr3:uid="{7D9475A7-8427-9D4F-9EA0-CAC06DB6E822}" name="Some difficulty" dataDxfId="2206"/>
    <tableColumn id="4" xr3:uid="{C72CE875-86B7-1F4D-B106-507AF295B632}" name="At least a lot of difficulty" dataDxfId="2205"/>
  </tableColumns>
  <tableStyleInfo name="TableStyleMedium2" showFirstColumn="1"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3E61C3FB-2AB6-374F-923C-18720A8E2AC4}" name="Table_E1.5.b_Share_of_urban_residents_who_have_ever_attended_school_Percentage_disaggregation_b" displayName="Table_E1.5.b_Share_of_urban_residents_who_have_ever_attended_school_Percentage_disaggregation_b" ref="G78:N94" totalsRowShown="0" headerRowDxfId="1912" dataDxfId="1911">
  <autoFilter ref="G78:N94" xr:uid="{3E61C3FB-2AB6-374F-923C-18720A8E2AC4}"/>
  <tableColumns count="8">
    <tableColumn id="1" xr3:uid="{A776BE8C-255C-B04E-AB07-0F70B841C773}" name="Region" dataDxfId="1910"/>
    <tableColumn id="2" xr3:uid="{1135DA70-9CF5-A549-914E-0C0D87BF35DC}" name="No difficulty" dataDxfId="1909"/>
    <tableColumn id="3" xr3:uid="{CC41167F-477A-324D-85E6-4C748B11AC76}" name="Some difficulty" dataDxfId="1908"/>
    <tableColumn id="4" xr3:uid="{4D8C4A8D-3DCC-BB45-BC3B-9AB9786DCB0A}" name="Difference" dataDxfId="1907"/>
    <tableColumn id="5" xr3:uid="{3E0CF8A8-1881-4B46-839B-42795890E340}" name="Statistical Significance of the Difference" dataDxfId="1906"/>
    <tableColumn id="6" xr3:uid="{5D3EF71E-DF4C-9042-A440-E496F0DFF5CD}" name="At least a lot of difficulty" dataDxfId="1905"/>
    <tableColumn id="7" xr3:uid="{F283D0DF-FFEC-8F4F-87CB-B212DA1FC3C2}" name="Difference No difficulty &amp; At least a lot of difficulty" dataDxfId="1904"/>
    <tableColumn id="8" xr3:uid="{EB3F5178-29B8-D145-989C-28F5C51AD5A1}" name="Statistical Significance of the Difference (No difficulty vs At least a lot)" dataDxfId="1903"/>
  </tableColumns>
  <tableStyleInfo name="TableStyleMedium2" showFirstColumn="1"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A71DD323-2CA1-F841-9135-9B317F91A2B7}" name="Table_E1.5.c_Share_of_urban_residents_who_have_ever_attended_school_Percentage_disaggregation_c" displayName="Table_E1.5.c_Share_of_urban_residents_who_have_ever_attended_school_Percentage_disaggregation_c" ref="P78:T94" totalsRowShown="0" headerRowDxfId="1902" dataDxfId="1901">
  <autoFilter ref="P78:T94" xr:uid="{A71DD323-2CA1-F841-9135-9B317F91A2B7}"/>
  <tableColumns count="5">
    <tableColumn id="1" xr3:uid="{BFF62836-E149-0041-8AC8-A828B360C9F6}" name="Region" dataDxfId="1900"/>
    <tableColumn id="2" xr3:uid="{4A3CBF09-D73F-274A-9FB1-CE738F13DCFD}" name="No or some difficulty" dataDxfId="1899"/>
    <tableColumn id="3" xr3:uid="{956CBC2B-F32E-184E-AE5A-BE1E2BA75307}" name="At least a lot of difficulty" dataDxfId="1898"/>
    <tableColumn id="4" xr3:uid="{CE32F703-8126-B445-A982-34B16A47B576}" name="Difference" dataDxfId="1897"/>
    <tableColumn id="5" xr3:uid="{F1CA48F3-7EA3-CC4D-B790-0E5D4630FCB9}" name="Statistical Significance of the Difference" dataDxfId="1896"/>
  </tableColumns>
  <tableStyleInfo name="TableStyleMedium2" showFirstColumn="1"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E63B82F1-61C5-1146-A484-451E14DA1ED3}" name="Table_E1.6.a_Share_of_adults_age_15_to_44_who_have_ever_attended_school_Percentage_disaggregation_a" displayName="Table_E1.6.a_Share_of_adults_age_15_to_44_who_have_ever_attended_school_Percentage_disaggregation_a" ref="A97:E113" totalsRowShown="0" headerRowDxfId="1895" dataDxfId="1894">
  <autoFilter ref="A97:E113" xr:uid="{E63B82F1-61C5-1146-A484-451E14DA1ED3}"/>
  <tableColumns count="5">
    <tableColumn id="1" xr3:uid="{56F24364-BFC6-0A46-9B87-F770D97726E1}" name="Region" dataDxfId="1893"/>
    <tableColumn id="2" xr3:uid="{7C3B11C3-9151-E043-8DA7-905F15ACADB6}" name="No difficulty" dataDxfId="1892"/>
    <tableColumn id="3" xr3:uid="{3E431BF1-1C97-744D-9845-0758ADBD74DB}" name="Any difficulty" dataDxfId="1891"/>
    <tableColumn id="4" xr3:uid="{485F9CAC-65EE-B34A-B71B-7F35578BD3C7}" name="Difference" dataDxfId="1890"/>
    <tableColumn id="5" xr3:uid="{7F507B84-77A1-2649-8453-A9422C6DC21A}" name="Statistical Significance of the Difference" dataDxfId="1889"/>
  </tableColumns>
  <tableStyleInfo name="TableStyleMedium2" showFirstColumn="1"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FDD45B2D-4231-DD44-8559-173192216DB5}" name="Table_E1.6.b_Share_of_adults_age_15_to_44_who_have_ever_attended_school_Percentage_disaggregation_b" displayName="Table_E1.6.b_Share_of_adults_age_15_to_44_who_have_ever_attended_school_Percentage_disaggregation_b" ref="G97:N113" totalsRowShown="0" headerRowDxfId="1888" dataDxfId="1887">
  <autoFilter ref="G97:N113" xr:uid="{FDD45B2D-4231-DD44-8559-173192216DB5}"/>
  <tableColumns count="8">
    <tableColumn id="1" xr3:uid="{FE6291CA-9937-E847-992B-1FCC72B5C791}" name="Region" dataDxfId="1886"/>
    <tableColumn id="2" xr3:uid="{26DDCB37-3D71-A345-8B14-7D061EC20A66}" name="No difficulty" dataDxfId="1885"/>
    <tableColumn id="3" xr3:uid="{E42B0DD0-F03D-804F-AC93-EF4FDF9B8379}" name="Some difficulty" dataDxfId="1884"/>
    <tableColumn id="4" xr3:uid="{355B8FFA-63D0-CE46-B707-A9FCEC2B0087}" name="Difference" dataDxfId="1883"/>
    <tableColumn id="5" xr3:uid="{890C3724-2BDD-3748-9FC0-0E2B8984447B}" name="Statistical Significance of the Difference" dataDxfId="1882"/>
    <tableColumn id="6" xr3:uid="{197A841D-0E11-464C-8F3F-4237285F296C}" name="At least a lot of difficulty" dataDxfId="1881"/>
    <tableColumn id="7" xr3:uid="{46F1B0AF-9C35-F343-BFA0-7F983A6700EB}" name="Difference No difficulty &amp; At least a lot of difficulty" dataDxfId="1880"/>
    <tableColumn id="8" xr3:uid="{1CE47F76-257F-9845-8B42-12251512420C}" name="Statistical Significance of the Difference (No difficulty vs At least a lot)" dataDxfId="1879"/>
  </tableColumns>
  <tableStyleInfo name="TableStyleMedium2" showFirstColumn="1"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904DEA83-6437-5D49-9E45-451C45EFD031}" name="Table_E1.6.c_Share_of_adults_age_15_to_44_who_have_ever_attended_school_Percentage_disaggregation_c" displayName="Table_E1.6.c_Share_of_adults_age_15_to_44_who_have_ever_attended_school_Percentage_disaggregation_c" ref="P97:T113" totalsRowShown="0" headerRowDxfId="1878" dataDxfId="1877">
  <autoFilter ref="P97:T113" xr:uid="{904DEA83-6437-5D49-9E45-451C45EFD031}"/>
  <tableColumns count="5">
    <tableColumn id="1" xr3:uid="{35452D99-4337-A448-8EF2-AA147A3861BE}" name="Region" dataDxfId="1876"/>
    <tableColumn id="2" xr3:uid="{B859434E-D42E-0A4E-8D1D-59FE6B413BB6}" name="No or some difficulty" dataDxfId="1875"/>
    <tableColumn id="3" xr3:uid="{A9B855DC-1614-3A47-8B9C-BB8B009CC59E}" name="At least a lot of difficulty" dataDxfId="1874"/>
    <tableColumn id="4" xr3:uid="{E0B510C0-F9E2-4A4A-A60D-700CAF816076}" name="Difference" dataDxfId="1873"/>
    <tableColumn id="5" xr3:uid="{1BE5426A-5D0D-314F-B9E1-195F61E70913}" name="Statistical Significance of the Difference" dataDxfId="1872"/>
  </tableColumns>
  <tableStyleInfo name="TableStyleMedium2" showFirstColumn="1"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419BCA55-3D46-8C49-AA17-5C4DBCCB2AC6}" name="Table_E1.7.a_Share_of_adults_age_45_and_older_who_have_ever_attended_school_Percentage_disaggregation_a" displayName="Table_E1.7.a_Share_of_adults_age_45_and_older_who_have_ever_attended_school_Percentage_disaggregation_a" ref="A116:E132" totalsRowShown="0" headerRowDxfId="1871" dataDxfId="1870">
  <autoFilter ref="A116:E132" xr:uid="{419BCA55-3D46-8C49-AA17-5C4DBCCB2AC6}"/>
  <tableColumns count="5">
    <tableColumn id="1" xr3:uid="{8829C67D-9FB4-E548-BEB5-65C43F178FB7}" name="Region" dataDxfId="1869"/>
    <tableColumn id="2" xr3:uid="{25542058-5FDA-1E4E-8754-E286B6E0D34A}" name="No difficulty" dataDxfId="1868"/>
    <tableColumn id="3" xr3:uid="{E050802B-D8C2-754A-B261-91CE0E465741}" name="Any difficulty" dataDxfId="1867"/>
    <tableColumn id="4" xr3:uid="{0C3FAF0A-3FA0-7F4F-BBF7-8507F3F7A926}" name="Difference" dataDxfId="1866"/>
    <tableColumn id="5" xr3:uid="{FA2ECE46-1038-B34D-930A-35563C579649}" name="Statistical Significance of the Difference" dataDxfId="1865"/>
  </tableColumns>
  <tableStyleInfo name="TableStyleMedium2" showFirstColumn="1"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FB7ADF08-E1D0-5440-90E6-17A75A327D52}" name="Table_E1.7.b_Share_of_adults_age_45_and_older_who_have_ever_attended_school_Percentage_disaggregation_b" displayName="Table_E1.7.b_Share_of_adults_age_45_and_older_who_have_ever_attended_school_Percentage_disaggregation_b" ref="G116:N132" totalsRowShown="0" headerRowDxfId="1864" dataDxfId="1863">
  <autoFilter ref="G116:N132" xr:uid="{FB7ADF08-E1D0-5440-90E6-17A75A327D52}"/>
  <tableColumns count="8">
    <tableColumn id="1" xr3:uid="{CCFFC99D-45A5-AE4F-97AE-F328E43D2A90}" name="Region" dataDxfId="1862"/>
    <tableColumn id="2" xr3:uid="{B07C534B-40D6-1049-868A-2F4F6A5FBB42}" name="No difficulty" dataDxfId="1861"/>
    <tableColumn id="3" xr3:uid="{6D46E9D0-4A88-504C-94CF-DC3FD6287F2B}" name="Some difficulty" dataDxfId="1860"/>
    <tableColumn id="4" xr3:uid="{626EDBFB-7A7A-BD40-A493-8A45CE0A11DC}" name="Difference" dataDxfId="1859"/>
    <tableColumn id="5" xr3:uid="{DBFBB470-3087-8C4C-BB23-234E8071FFBD}" name="Statistical Significance of the Difference" dataDxfId="1858"/>
    <tableColumn id="6" xr3:uid="{88F20140-5F9B-5844-9860-D79E66FC4E8A}" name="At least a lot of difficulty" dataDxfId="1857"/>
    <tableColumn id="7" xr3:uid="{E5C0D2BC-EE67-DE42-A21E-306D02DF0DD5}" name="Difference No difficulty &amp; At least a lot of difficulty" dataDxfId="1856"/>
    <tableColumn id="8" xr3:uid="{AC1F8431-A33A-B247-96EA-4A2A1B2285D4}" name="Statistical Significance of the Difference (No difficulty vs At least a lot)" dataDxfId="1855"/>
  </tableColumns>
  <tableStyleInfo name="TableStyleMedium2" showFirstColumn="1"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7AF20BB3-7CDC-BA49-8FBE-D28B31B38F13}" name="Table_E1.7.c_Share_of_adults_age_45_and_older_who_have_ever_attended_school_Percentage_disaggregation_c" displayName="Table_E1.7.c_Share_of_adults_age_45_and_older_who_have_ever_attended_school_Percentage_disaggregation_c" ref="P116:T132" totalsRowShown="0" headerRowDxfId="1854" dataDxfId="1853">
  <autoFilter ref="P116:T132" xr:uid="{7AF20BB3-7CDC-BA49-8FBE-D28B31B38F13}"/>
  <tableColumns count="5">
    <tableColumn id="1" xr3:uid="{04E4FD1C-1C6A-3744-BAFB-536C755A3324}" name="Region" dataDxfId="1852"/>
    <tableColumn id="2" xr3:uid="{23F4669E-75A3-3646-989A-4630158A11CD}" name="No or some difficulty" dataDxfId="1851"/>
    <tableColumn id="3" xr3:uid="{611332C1-1E80-3F49-B508-5D5993560114}" name="At least a lot of difficulty" dataDxfId="1850"/>
    <tableColumn id="4" xr3:uid="{21022BAA-DE66-3543-96A4-B4B93BEEA51D}" name="Difference" dataDxfId="1849"/>
    <tableColumn id="5" xr3:uid="{017C5206-4E50-4346-B075-D0A56A0E54D2}" name="Statistical Significance of the Difference" dataDxfId="1848"/>
  </tableColumns>
  <tableStyleInfo name="TableStyleMedium2" showFirstColumn="1" showLastColumn="0" showRowStripes="1" showColumnStripes="0"/>
</table>
</file>

<file path=xl/tables/table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38B34A8-6C17-E949-9E93-C1E2D7810B9F}" name="Table_E2.1.a_Share_of_all_adults_who_have_less_than_primary_school_completion_Percentage_disaggregation_a" displayName="Table_E2.1.a_Share_of_all_adults_who_have_less_than_primary_school_completion_Percentage_disaggregation_a" ref="A2:E18" totalsRowShown="0" headerRowDxfId="1847" dataDxfId="1846">
  <autoFilter ref="A2:E18" xr:uid="{038B34A8-6C17-E949-9E93-C1E2D7810B9F}"/>
  <tableColumns count="5">
    <tableColumn id="1" xr3:uid="{655DC4D1-A89F-8A43-8B92-F8BE769A6477}" name="Region" dataDxfId="1845"/>
    <tableColumn id="2" xr3:uid="{520FC166-16EF-BD4F-BD80-0AA34C60F6EF}" name="No difficulty" dataDxfId="1844"/>
    <tableColumn id="3" xr3:uid="{651CB0CA-2B1C-B341-85E3-FA0D4B83F13E}" name="Any difficulty" dataDxfId="1843"/>
    <tableColumn id="4" xr3:uid="{5E6655B4-4854-CB44-806E-5BFC8B9140AC}" name="Difference" dataDxfId="1842"/>
    <tableColumn id="5" xr3:uid="{6CD7144C-DC63-BC46-A52C-6EF60826E02A}" name="Statistical Significance of the Difference" dataDxfId="1841">
      <calculatedColumnFormula>IF(       0&lt;0.01,"***",IF(       0&lt;0.05,"**",IF(       0&lt;0.1,"*","NS")))</calculatedColumnFormula>
    </tableColumn>
  </tableColumns>
  <tableStyleInfo name="TableStyleMedium2" showFirstColumn="1" showLastColumn="0" showRowStripes="1" showColumnStripes="0"/>
</table>
</file>

<file path=xl/tables/table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870CB60E-57C1-B54C-8E95-B018B20FEA6C}" name="Table_E2.1.b_Share_of_all_adults_who_have_less_than_primary_school_completion_Percentage_disaggregation_b" displayName="Table_E2.1.b_Share_of_all_adults_who_have_less_than_primary_school_completion_Percentage_disaggregation_b" ref="G2:N18" totalsRowShown="0" headerRowDxfId="1840" dataDxfId="1839">
  <autoFilter ref="G2:N18" xr:uid="{870CB60E-57C1-B54C-8E95-B018B20FEA6C}"/>
  <tableColumns count="8">
    <tableColumn id="1" xr3:uid="{B6AE2B7B-76CF-464C-BC77-7B5F06050060}" name="Region" dataDxfId="1838"/>
    <tableColumn id="2" xr3:uid="{14E110DE-CD5E-A944-B831-9E2F783ECD2E}" name="No difficulty" dataDxfId="1837"/>
    <tableColumn id="3" xr3:uid="{222AE318-6999-D74E-8006-7EF78C2C1F3D}" name="Some difficulty" dataDxfId="1836"/>
    <tableColumn id="4" xr3:uid="{25487543-1CC4-9D4B-8E3C-56F4A123727D}" name="Difference" dataDxfId="1835"/>
    <tableColumn id="5" xr3:uid="{DAA7CD88-AFB6-5242-BFC9-BA26A5FB01CB}" name="Statistical Significance of the Difference" dataDxfId="1834">
      <calculatedColumnFormula>IF(       0&lt;0.01,"***",IF(       0&lt;0.05,"**",IF(       0&lt;0.1,"*","NS")))</calculatedColumnFormula>
    </tableColumn>
    <tableColumn id="6" xr3:uid="{6D0830FB-4998-6049-BA35-B6ED7054CE3A}" name="At least a lot of difficulty" dataDxfId="1833"/>
    <tableColumn id="7" xr3:uid="{E9A964B8-5AAE-7445-882F-6D1F84BFE7A5}" name="Difference No difficulty &amp; At least a lot of difficulty" dataDxfId="1832"/>
    <tableColumn id="8" xr3:uid="{6F2D2EB5-320F-6A49-A246-17E23A298CA8}" name="Statistical Significance of the Difference (No difficulty vs At least a lot)" dataDxfId="1831">
      <calculatedColumnFormula>IF(       0&lt;0.01,"***",IF(       0&lt;0.05,"**",IF(       0&lt;0.1,"*","NS")))</calculatedColumnFormula>
    </tableColumn>
  </tableColumns>
  <tableStyleInfo name="TableStyleMedium2"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CEE7E12-02EE-B14E-ABAC-D88F2D9FE122}" name="Table_P1.4_Share_of_rural_residents_with_functional_difficulties_Percentage" displayName="Table_P1.4_Share_of_rural_residents_with_functional_difficulties_Percentage" ref="A59:D75" totalsRowShown="0" headerRowDxfId="2204" dataDxfId="2203">
  <autoFilter ref="A59:D75" xr:uid="{BCEE7E12-02EE-B14E-ABAC-D88F2D9FE122}"/>
  <tableColumns count="4">
    <tableColumn id="1" xr3:uid="{294E6C2B-FE4A-B04B-948D-250C21132883}" name="Region" dataDxfId="2202"/>
    <tableColumn id="2" xr3:uid="{DA373AB2-DCDE-A946-8AC8-115583A27F7B}" name="Any difficulty" dataDxfId="2201"/>
    <tableColumn id="3" xr3:uid="{23C85BBE-DD3C-E24B-B373-0F2240BCF714}" name="Some difficulty" dataDxfId="2200"/>
    <tableColumn id="4" xr3:uid="{3062AE55-851B-284E-8DB6-B8974DBF7863}" name="At least a lot of difficulty" dataDxfId="2199"/>
  </tableColumns>
  <tableStyleInfo name="TableStyleMedium2" showFirstColumn="1" showLastColumn="0" showRowStripes="1" showColumnStripes="0"/>
</table>
</file>

<file path=xl/tables/table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9" xr:uid="{61078FB3-BD16-7E4A-8D3D-475E0485C47E}" name="Table_E2.1.c_Share_of_all_adults_who_have_less_than_primary_school_completion_Percentage_disaggregation_c" displayName="Table_E2.1.c_Share_of_all_adults_who_have_less_than_primary_school_completion_Percentage_disaggregation_c" ref="P2:T18" totalsRowShown="0" headerRowDxfId="1830" dataDxfId="1829">
  <autoFilter ref="P2:T18" xr:uid="{61078FB3-BD16-7E4A-8D3D-475E0485C47E}"/>
  <tableColumns count="5">
    <tableColumn id="1" xr3:uid="{E3053949-9556-4547-9116-CCB39D7FCA03}" name="Region" dataDxfId="1828"/>
    <tableColumn id="2" xr3:uid="{F8EB6276-00B0-344D-9B49-65183637FC2E}" name="No or some difficulty" dataDxfId="1827"/>
    <tableColumn id="3" xr3:uid="{8B9879FD-6D62-B749-BE65-D8698694EA32}" name="At least a lot of difficulty" dataDxfId="1826"/>
    <tableColumn id="4" xr3:uid="{C380E706-60C2-C045-9E27-32269F6AD374}" name="Difference" dataDxfId="1825"/>
    <tableColumn id="5" xr3:uid="{6DFE33F1-FA93-284A-BE83-8200B083EE87}" name="Statistical Significance of the Difference" dataDxfId="1824">
      <calculatedColumnFormula>IF(       0&lt;0.01,"***",IF(       0&lt;0.05,"**",IF(       0&lt;0.1,"*","NS")))</calculatedColumnFormula>
    </tableColumn>
  </tableColumns>
  <tableStyleInfo name="TableStyleMedium2" showFirstColumn="1" showLastColumn="0" showRowStripes="1" showColumnStripes="0"/>
</table>
</file>

<file path=xl/tables/table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99C45AFC-DFC9-494D-A365-61A7B4DE91E7}" name="Table_E2.2.a_Share_of_females_who_have_less_than_primary_school_completion_Percentage_disaggregation_a" displayName="Table_E2.2.a_Share_of_females_who_have_less_than_primary_school_completion_Percentage_disaggregation_a" ref="A21:E37" totalsRowShown="0" headerRowDxfId="1823" dataDxfId="1822">
  <autoFilter ref="A21:E37" xr:uid="{99C45AFC-DFC9-494D-A365-61A7B4DE91E7}"/>
  <tableColumns count="5">
    <tableColumn id="1" xr3:uid="{028228DE-CD27-094D-A14E-C529C88217EF}" name="Region" dataDxfId="1821"/>
    <tableColumn id="2" xr3:uid="{83930CCF-7A00-3647-B66E-DF662389CA4C}" name="No difficulty" dataDxfId="1820"/>
    <tableColumn id="3" xr3:uid="{B8D7657F-F944-9746-9D57-80D15FE2887A}" name="Any difficulty" dataDxfId="1819"/>
    <tableColumn id="4" xr3:uid="{6C223EC6-39C6-4B45-AA1C-434E17E75C47}" name="Difference" dataDxfId="1818"/>
    <tableColumn id="5" xr3:uid="{C193855B-D368-904D-B269-FA59BB8BB93E}" name="Statistical Significance of the Difference" dataDxfId="1817">
      <calculatedColumnFormula>IF(       0&lt;0.01,"***",IF(       0&lt;0.05,"**",IF(       0&lt;0.1,"*","NS")))</calculatedColumnFormula>
    </tableColumn>
  </tableColumns>
  <tableStyleInfo name="TableStyleMedium2" showFirstColumn="1" showLastColumn="0" showRowStripes="1" showColumnStripes="0"/>
</table>
</file>

<file path=xl/tables/table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1" xr:uid="{1B73EE22-07F4-F84C-BF90-6EE66D72A733}" name="Table_E2.2.b_Share_of_females_who_have_less_than_primary_school_completion_Percentage_disaggregation_b" displayName="Table_E2.2.b_Share_of_females_who_have_less_than_primary_school_completion_Percentage_disaggregation_b" ref="G21:N37" totalsRowShown="0" headerRowDxfId="1816" dataDxfId="1815">
  <autoFilter ref="G21:N37" xr:uid="{1B73EE22-07F4-F84C-BF90-6EE66D72A733}"/>
  <tableColumns count="8">
    <tableColumn id="1" xr3:uid="{AEDFFB12-8F1A-4D4E-ADBA-3E480E4B1476}" name="Region" dataDxfId="1814"/>
    <tableColumn id="2" xr3:uid="{0B5845F6-44A1-6E46-A52D-13143DA449C1}" name="No difficulty" dataDxfId="1813"/>
    <tableColumn id="3" xr3:uid="{73CCEB52-7D73-CA43-9AFC-7F9514245FE1}" name="Some difficulty" dataDxfId="1812"/>
    <tableColumn id="4" xr3:uid="{FE4E60BF-530A-5045-B2AC-89D346C6F0A6}" name="Difference" dataDxfId="1811"/>
    <tableColumn id="5" xr3:uid="{C9B319C5-7237-504C-AD71-6CFA0BBE9659}" name="Statistical Significance of the Difference" dataDxfId="1810">
      <calculatedColumnFormula>IF(       0&lt;0.01,"***",IF(       0&lt;0.05,"**",IF(       0&lt;0.1,"*","NS")))</calculatedColumnFormula>
    </tableColumn>
    <tableColumn id="6" xr3:uid="{1C21455D-C627-9D46-A64E-03CAD92650DE}" name="At least a lot of difficulty" dataDxfId="1809"/>
    <tableColumn id="7" xr3:uid="{80F39E6D-B69C-F743-BD98-1395767E5427}" name="Difference No difficulty &amp; At least a lot of difficulty" dataDxfId="1808"/>
    <tableColumn id="8" xr3:uid="{2711FD29-3443-1049-AEEA-865CB977ADFD}" name="Statistical Significance of the Difference (No difficulty vs At least a lot)" dataDxfId="1807">
      <calculatedColumnFormula>IF(       0&lt;0.01,"***",IF(       0&lt;0.05,"**",IF(       0&lt;0.1,"*","NS")))</calculatedColumnFormula>
    </tableColumn>
  </tableColumns>
  <tableStyleInfo name="TableStyleMedium2" showFirstColumn="1" showLastColumn="0" showRowStripes="1" showColumnStripes="0"/>
</table>
</file>

<file path=xl/tables/table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2" xr:uid="{7050D9EE-550B-1C45-A5F9-0B859286D52F}" name="Table_E2.2.c_Share_of_females_who_have_less_than_primary_school_completion_Percentage_disaggregation_c" displayName="Table_E2.2.c_Share_of_females_who_have_less_than_primary_school_completion_Percentage_disaggregation_c" ref="P21:T37" totalsRowShown="0" headerRowDxfId="1806" dataDxfId="1805">
  <autoFilter ref="P21:T37" xr:uid="{7050D9EE-550B-1C45-A5F9-0B859286D52F}"/>
  <tableColumns count="5">
    <tableColumn id="1" xr3:uid="{7F7E7724-27F7-5E47-964B-4370989987B1}" name="Region" dataDxfId="1804"/>
    <tableColumn id="2" xr3:uid="{335C31EB-29A2-764D-B045-21084CCCA874}" name="No or some difficulty" dataDxfId="1803"/>
    <tableColumn id="3" xr3:uid="{D58F2F91-D654-D544-9B55-41C2E574000F}" name="At least a lot of difficulty" dataDxfId="1802"/>
    <tableColumn id="4" xr3:uid="{8B239A9E-830A-814A-B7DC-9C07D8A50AD7}" name="Difference" dataDxfId="1801"/>
    <tableColumn id="5" xr3:uid="{461E0E77-8C13-5146-A4A0-807BBA012931}" name="Statistical Significance of the Difference" dataDxfId="1800">
      <calculatedColumnFormula>IF(       0&lt;0.01,"***",IF(       0&lt;0.05,"**",IF(       0&lt;0.1,"*","NS")))</calculatedColumnFormula>
    </tableColumn>
  </tableColumns>
  <tableStyleInfo name="TableStyleMedium2" showFirstColumn="1" showLastColumn="0" showRowStripes="1" showColumnStripes="0"/>
</table>
</file>

<file path=xl/tables/table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3" xr:uid="{5D9B8ED2-7E0B-0B48-90A4-54AFEC6E0D97}" name="Table_E2.3.a_Share_of_males_who_have_less_than_primary_school_completion_Percentage_disaggregation_a" displayName="Table_E2.3.a_Share_of_males_who_have_less_than_primary_school_completion_Percentage_disaggregation_a" ref="A40:E56" totalsRowShown="0" headerRowDxfId="1799" dataDxfId="1798">
  <autoFilter ref="A40:E56" xr:uid="{5D9B8ED2-7E0B-0B48-90A4-54AFEC6E0D97}"/>
  <tableColumns count="5">
    <tableColumn id="1" xr3:uid="{6F864D48-AA69-2546-ADB4-50ADF79526BB}" name="Region" dataDxfId="1797"/>
    <tableColumn id="2" xr3:uid="{339085E8-C8B2-DA49-8E67-CA8CEAF61089}" name="No difficulty" dataDxfId="1796"/>
    <tableColumn id="3" xr3:uid="{F0D4B04E-4BF1-0E41-9E70-0D4E3ED87096}" name="Any difficulty" dataDxfId="1795"/>
    <tableColumn id="4" xr3:uid="{39BFBA52-76BE-4A49-A552-5567609D459B}" name="Difference" dataDxfId="1794"/>
    <tableColumn id="5" xr3:uid="{2D360B77-A709-874A-9597-7C64DB9253C7}" name="Statistical Significance of the Difference" dataDxfId="1793"/>
  </tableColumns>
  <tableStyleInfo name="TableStyleMedium2" showFirstColumn="1" showLastColumn="0" showRowStripes="1" showColumnStripes="0"/>
</table>
</file>

<file path=xl/tables/table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0B6658A0-AED1-C64C-9E2C-47E9AD3C69C1}" name="Table_E2.3.b_Share_of_males_who_have_less_than_primary_school_completion_Percentage_disaggregation_b" displayName="Table_E2.3.b_Share_of_males_who_have_less_than_primary_school_completion_Percentage_disaggregation_b" ref="G40:N56" totalsRowShown="0" headerRowDxfId="1792" dataDxfId="1791">
  <autoFilter ref="G40:N56" xr:uid="{0B6658A0-AED1-C64C-9E2C-47E9AD3C69C1}"/>
  <tableColumns count="8">
    <tableColumn id="1" xr3:uid="{CE0833F6-B9C1-E943-97D9-3DA12B70B8DA}" name="Region" dataDxfId="1790"/>
    <tableColumn id="2" xr3:uid="{7462AC1D-6434-8545-A6B0-1ECDCE1DD310}" name="No difficulty" dataDxfId="1789"/>
    <tableColumn id="3" xr3:uid="{29E3D03B-EBEC-E942-891D-4DF4892A8440}" name="Some difficulty" dataDxfId="1788"/>
    <tableColumn id="4" xr3:uid="{7ED29014-7660-B541-AD69-3049C6ADD086}" name="Difference" dataDxfId="1787"/>
    <tableColumn id="5" xr3:uid="{8C908F6B-0372-5E49-8AB8-82BC24C0E6DC}" name="Statistical Significance of the Difference" dataDxfId="1786"/>
    <tableColumn id="6" xr3:uid="{F9A6F511-6AE1-C144-9B83-879487428C91}" name="At least a lot of difficulty" dataDxfId="1785"/>
    <tableColumn id="7" xr3:uid="{A82CF407-E74F-E744-BC62-DD86391581C0}" name="Difference No difficulty &amp; At least a lot of difficulty" dataDxfId="1784"/>
    <tableColumn id="8" xr3:uid="{D2EC0EC5-AEA7-324F-B1A8-BF0B1E9B076D}" name="Statistical Significance of the Difference (No difficulty vs At least a lot)" dataDxfId="1783"/>
  </tableColumns>
  <tableStyleInfo name="TableStyleMedium2" showFirstColumn="1" showLastColumn="0" showRowStripes="1" showColumnStripes="0"/>
</table>
</file>

<file path=xl/tables/table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5" xr:uid="{96D7EB90-83D4-184D-9894-0CF795932D7F}" name="Table_E2.3.c_Share_of_males_who_have_less_than_primary_school_completion_Percentage_disaggregation_c" displayName="Table_E2.3.c_Share_of_males_who_have_less_than_primary_school_completion_Percentage_disaggregation_c" ref="P40:T56" totalsRowShown="0" headerRowDxfId="1782" dataDxfId="1781">
  <autoFilter ref="P40:T56" xr:uid="{96D7EB90-83D4-184D-9894-0CF795932D7F}"/>
  <tableColumns count="5">
    <tableColumn id="1" xr3:uid="{FA716FEC-7899-5145-8AE0-AC0E58B0BDF6}" name="Region" dataDxfId="1780"/>
    <tableColumn id="2" xr3:uid="{1CC4EFFA-B273-624C-9FE4-676FDF17EF49}" name="No or some difficulty" dataDxfId="1779"/>
    <tableColumn id="3" xr3:uid="{2D7C7B5C-AF7B-0D4D-BA08-EE705BF83913}" name="At least a lot of difficulty" dataDxfId="1778"/>
    <tableColumn id="4" xr3:uid="{5F702216-6F80-B14B-9F20-A36AFE825870}" name="Difference" dataDxfId="1777"/>
    <tableColumn id="5" xr3:uid="{C63F0E4C-25D6-8D41-8EE1-879E1A830669}" name="Statistical Significance of the Difference" dataDxfId="1776"/>
  </tableColumns>
  <tableStyleInfo name="TableStyleMedium2" showFirstColumn="1" showLastColumn="0" showRowStripes="1" showColumnStripes="0"/>
</table>
</file>

<file path=xl/tables/table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6" xr:uid="{B988FC73-F20F-9048-9290-B8B02D43D1E2}" name="Table_E2.4.a_Share_of_rural_residents_who_have_less_than_primary_school_completion_Percentage_disaggregation_a" displayName="Table_E2.4.a_Share_of_rural_residents_who_have_less_than_primary_school_completion_Percentage_disaggregation_a" ref="A59:E75" totalsRowShown="0" headerRowDxfId="1775" dataDxfId="1774">
  <autoFilter ref="A59:E75" xr:uid="{B988FC73-F20F-9048-9290-B8B02D43D1E2}"/>
  <tableColumns count="5">
    <tableColumn id="1" xr3:uid="{2E328912-FF58-C04C-8CFA-A528C088143B}" name="Region" dataDxfId="1773"/>
    <tableColumn id="2" xr3:uid="{962E537E-DBBB-F848-BAD7-E38230096C8D}" name="No difficulty" dataDxfId="1772"/>
    <tableColumn id="3" xr3:uid="{D6D34E1D-FFD6-1C48-841B-2CB3ADD7BB5C}" name="Any difficulty" dataDxfId="1771"/>
    <tableColumn id="4" xr3:uid="{49320250-C58B-EC49-AB3E-A73840A241FE}" name="Difference" dataDxfId="1770"/>
    <tableColumn id="5" xr3:uid="{63B44963-CFB6-4D4A-912A-F61DD3F45078}" name="Statistical Significance of the Difference" dataDxfId="1769"/>
  </tableColumns>
  <tableStyleInfo name="TableStyleMedium2" showFirstColumn="1" showLastColumn="0" showRowStripes="1" showColumnStripes="0"/>
</table>
</file>

<file path=xl/tables/table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7" xr:uid="{D618A026-8E73-3B4A-83C0-7BD48C909824}" name="Table_E2.4.b_Share_of_rural_residents_who_have_less_than_primary_school_completion_Percentage_disaggregation_b" displayName="Table_E2.4.b_Share_of_rural_residents_who_have_less_than_primary_school_completion_Percentage_disaggregation_b" ref="G59:N75" totalsRowShown="0" headerRowDxfId="1768" dataDxfId="1767">
  <autoFilter ref="G59:N75" xr:uid="{D618A026-8E73-3B4A-83C0-7BD48C909824}"/>
  <tableColumns count="8">
    <tableColumn id="1" xr3:uid="{661C83C3-80F0-2C4A-A78E-84AA686A6E0E}" name="Region" dataDxfId="1766"/>
    <tableColumn id="2" xr3:uid="{DC1AC1B6-9BF6-E943-9363-6C74CA72A951}" name="No difficulty" dataDxfId="1765"/>
    <tableColumn id="3" xr3:uid="{75080E65-2CF1-9F47-8852-E84FD1C80650}" name="Some difficulty" dataDxfId="1764"/>
    <tableColumn id="4" xr3:uid="{3037EE74-DBD8-6C43-BA2C-40C94BD92D5A}" name="Difference" dataDxfId="1763"/>
    <tableColumn id="5" xr3:uid="{0570B80B-7606-A643-895E-31517C3D0DEB}" name="Statistical Significance of the Difference" dataDxfId="1762"/>
    <tableColumn id="6" xr3:uid="{587B0253-D0C4-2E48-9E90-C9B4210FB423}" name="At least a lot of difficulty" dataDxfId="1761"/>
    <tableColumn id="7" xr3:uid="{00F97B6E-360D-834F-AA4D-2091AECFB100}" name="Difference No difficulty &amp; At least a lot of difficulty" dataDxfId="1760"/>
    <tableColumn id="8" xr3:uid="{2812F956-5D7A-3C46-9D78-EB2EB0A555F7}" name="Statistical Significance of the Difference (No difficulty vs At least a lot)" dataDxfId="1759"/>
  </tableColumns>
  <tableStyleInfo name="TableStyleMedium2" showFirstColumn="1" showLastColumn="0" showRowStripes="1" showColumnStripes="0"/>
</table>
</file>

<file path=xl/tables/table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8" xr:uid="{67C6C04B-7EBF-7940-A35D-BC4231C8736B}" name="Table_E2.4.c_Share_of_rural_residents_who_have_less_than_primary_school_completion_Percentage_disaggregation_c" displayName="Table_E2.4.c_Share_of_rural_residents_who_have_less_than_primary_school_completion_Percentage_disaggregation_c" ref="P59:T75" totalsRowShown="0" headerRowDxfId="1758" dataDxfId="1757">
  <autoFilter ref="P59:T75" xr:uid="{67C6C04B-7EBF-7940-A35D-BC4231C8736B}"/>
  <tableColumns count="5">
    <tableColumn id="1" xr3:uid="{8635F70B-4042-7142-B269-A5499A4EDB09}" name="Region" dataDxfId="1756"/>
    <tableColumn id="2" xr3:uid="{3818CEA3-7F97-5E46-828F-82E7FF337A6A}" name="No or some difficulty" dataDxfId="1755"/>
    <tableColumn id="3" xr3:uid="{F3D63366-66E3-264C-8D8B-608BEF44B1A0}" name="At least a lot of difficulty" dataDxfId="1754"/>
    <tableColumn id="4" xr3:uid="{CFF1E52A-42A8-BE4F-92C0-1E273C978F21}" name="Difference" dataDxfId="1753"/>
    <tableColumn id="5" xr3:uid="{F1513B50-AAD0-7646-BEF6-68C9CA41F521}" name="Statistical Significance of the Difference" dataDxfId="1752"/>
  </tableColumns>
  <tableStyleInfo name="TableStyleMedium2"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D68BDF1-4535-0D4A-B040-A8FBF2ABEDDF}" name="Table_P1.5_Share_of_urban_residents_with_functional_difficulties_Percentage" displayName="Table_P1.5_Share_of_urban_residents_with_functional_difficulties_Percentage" ref="A78:D94" totalsRowShown="0" headerRowDxfId="2198" dataDxfId="2197">
  <autoFilter ref="A78:D94" xr:uid="{3D68BDF1-4535-0D4A-B040-A8FBF2ABEDDF}"/>
  <tableColumns count="4">
    <tableColumn id="1" xr3:uid="{EB5901C3-FD5E-8A43-80BE-DC17D99CD37A}" name="Region" dataDxfId="2196"/>
    <tableColumn id="2" xr3:uid="{2A98D852-D1E8-AE45-AE68-314D2A22134B}" name="Any difficulty" dataDxfId="2195"/>
    <tableColumn id="3" xr3:uid="{83CF913D-A81D-8242-96C8-ACFC983B8167}" name="Some difficulty" dataDxfId="2194"/>
    <tableColumn id="4" xr3:uid="{F468B3EC-A8EE-4042-BD48-BEF767AA01EE}" name="At least a lot of difficulty" dataDxfId="2193"/>
  </tableColumns>
  <tableStyleInfo name="TableStyleMedium2" showFirstColumn="1" showLastColumn="0" showRowStripes="1" showColumnStripes="0"/>
</table>
</file>

<file path=xl/tables/table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9" xr:uid="{8F5040CB-1B75-524A-9A53-26A124569721}" name="Table_E2.5.a_Share_of_urban_residents_who_have_less_than_primary_school_completion_Percentage_disaggregation_a" displayName="Table_E2.5.a_Share_of_urban_residents_who_have_less_than_primary_school_completion_Percentage_disaggregation_a" ref="A78:E94" totalsRowShown="0" headerRowDxfId="1751" dataDxfId="1750">
  <autoFilter ref="A78:E94" xr:uid="{8F5040CB-1B75-524A-9A53-26A124569721}"/>
  <tableColumns count="5">
    <tableColumn id="1" xr3:uid="{E12B6C05-6254-9C4C-B0E7-BF56197CD439}" name="Region" dataDxfId="1749"/>
    <tableColumn id="2" xr3:uid="{AA51D9C4-B42B-0C42-930E-F316F3F5034F}" name="No difficulty" dataDxfId="1748"/>
    <tableColumn id="3" xr3:uid="{1CAF694C-7653-3944-8872-1FEF810EF705}" name="Any difficulty" dataDxfId="1747"/>
    <tableColumn id="4" xr3:uid="{A43376AA-2A76-084C-975F-CF1DD78B971A}" name="Difference" dataDxfId="1746"/>
    <tableColumn id="5" xr3:uid="{3D00462D-79EB-4A45-93F0-41AA93CC4C4D}" name="Statistical Significance of the Difference" dataDxfId="1745"/>
  </tableColumns>
  <tableStyleInfo name="TableStyleMedium2" showFirstColumn="1" showLastColumn="0" showRowStripes="1" showColumnStripes="0"/>
</table>
</file>

<file path=xl/tables/table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0" xr:uid="{B7B13BBC-65E1-F94E-9A87-B839ECE09BC4}" name="Table_E2.5.b_Share_of_urban_residents_who_have_less_than_primary_school_completion_Percentage_disaggregation_b" displayName="Table_E2.5.b_Share_of_urban_residents_who_have_less_than_primary_school_completion_Percentage_disaggregation_b" ref="G78:N94" totalsRowShown="0" headerRowDxfId="1744" dataDxfId="1743">
  <autoFilter ref="G78:N94" xr:uid="{B7B13BBC-65E1-F94E-9A87-B839ECE09BC4}"/>
  <tableColumns count="8">
    <tableColumn id="1" xr3:uid="{6D68242A-656C-FC4F-B1AB-9068E2C4010B}" name="Region" dataDxfId="1742"/>
    <tableColumn id="2" xr3:uid="{37E40575-E9DD-D14F-8962-287BC499B621}" name="No difficulty" dataDxfId="1741"/>
    <tableColumn id="3" xr3:uid="{5E7DDBE9-A7A6-9243-B21A-E3BEB1D408F1}" name="Some difficulty" dataDxfId="1740"/>
    <tableColumn id="4" xr3:uid="{B85A9244-CC61-894B-85FA-F73EDB84A4EA}" name="Difference" dataDxfId="1739"/>
    <tableColumn id="5" xr3:uid="{A6EB9D6A-7A47-DA43-8C8E-DF920BA0027B}" name="Statistical Significance of the Difference" dataDxfId="1738"/>
    <tableColumn id="6" xr3:uid="{2E9024E2-28E7-3748-A7F1-36982C361D89}" name="At least a lot of difficulty" dataDxfId="1737"/>
    <tableColumn id="7" xr3:uid="{8EC7C491-1B23-7848-AB4C-B51C95785B8C}" name="Difference No difficulty &amp; At least a lot of difficulty" dataDxfId="1736"/>
    <tableColumn id="8" xr3:uid="{D0A201B9-AAF0-6341-9D71-6AB25663345B}" name="Statistical Significance of the Difference (No difficulty vs At least a lot)" dataDxfId="1735"/>
  </tableColumns>
  <tableStyleInfo name="TableStyleMedium2" showFirstColumn="1" showLastColumn="0" showRowStripes="1" showColumnStripes="0"/>
</table>
</file>

<file path=xl/tables/table6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1" xr:uid="{1D5BF2F7-EBC1-EC40-A333-3CF5FD6165A7}" name="Table_E2.5.c_Share_of_urban_residents_who_have_less_than_primary_school_completion_Percentage_disaggregation_c" displayName="Table_E2.5.c_Share_of_urban_residents_who_have_less_than_primary_school_completion_Percentage_disaggregation_c" ref="P78:T94" totalsRowShown="0" headerRowDxfId="1734" dataDxfId="1733">
  <autoFilter ref="P78:T94" xr:uid="{1D5BF2F7-EBC1-EC40-A333-3CF5FD6165A7}"/>
  <tableColumns count="5">
    <tableColumn id="1" xr3:uid="{6197BDFE-C434-7B45-B204-9B7F68CC1935}" name="Region" dataDxfId="1732"/>
    <tableColumn id="2" xr3:uid="{3174091E-3BA9-A449-91BC-88A0DF5B1EE6}" name="No or some difficulty" dataDxfId="1731"/>
    <tableColumn id="3" xr3:uid="{A95D7034-789D-5443-9EEE-CD6F887DFAEF}" name="At least a lot of difficulty" dataDxfId="1730"/>
    <tableColumn id="4" xr3:uid="{30693321-E8CE-B446-A930-160410220F9F}" name="Difference" dataDxfId="1729"/>
    <tableColumn id="5" xr3:uid="{1D035B01-CB8A-0842-ADD5-71B674FDEEA5}" name="Statistical Significance of the Difference" dataDxfId="1728"/>
  </tableColumns>
  <tableStyleInfo name="TableStyleMedium2" showFirstColumn="1" showLastColumn="0" showRowStripes="1" showColumnStripes="0"/>
</table>
</file>

<file path=xl/tables/table6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2" xr:uid="{7DA6D552-BC46-4840-9BF2-A004A880F212}" name="Table_E2.6.a_Share_of_adults_age_15_to_44_who_have_less_than_primary_school_completion_Percentage_disaggregation_a" displayName="Table_E2.6.a_Share_of_adults_age_15_to_44_who_have_less_than_primary_school_completion_Percentage_disaggregation_a" ref="A97:E113" totalsRowShown="0" headerRowDxfId="1727" dataDxfId="1726">
  <autoFilter ref="A97:E113" xr:uid="{7DA6D552-BC46-4840-9BF2-A004A880F212}"/>
  <tableColumns count="5">
    <tableColumn id="1" xr3:uid="{6F94C9EA-D1DC-E145-9603-B56F039AF1D8}" name="Region" dataDxfId="1725"/>
    <tableColumn id="2" xr3:uid="{21F22A14-3296-8F4D-A953-28A21827F69B}" name="No difficulty" dataDxfId="1724"/>
    <tableColumn id="3" xr3:uid="{1394B6BA-465A-5F48-AB12-5B384A727541}" name="Any difficulty" dataDxfId="1723"/>
    <tableColumn id="4" xr3:uid="{989539FF-0943-694D-8FE8-2DD27FEDFC6C}" name="Difference" dataDxfId="1722"/>
    <tableColumn id="5" xr3:uid="{C30AB051-5264-234A-8177-E28BF0D958E7}" name="Statistical Significance of the Difference" dataDxfId="1721">
      <calculatedColumnFormula>IF(       0&lt;0.01,"***",IF(       0&lt;0.05,"**",IF(       0&lt;0.1,"*","NS")))</calculatedColumnFormula>
    </tableColumn>
  </tableColumns>
  <tableStyleInfo name="TableStyleMedium2" showFirstColumn="1" showLastColumn="0" showRowStripes="1" showColumnStripes="0"/>
</table>
</file>

<file path=xl/tables/table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A9FB426F-87ED-0743-8EFE-21C78ABFE66A}" name="Table_E2.6.b_Share_of_adults_age_15_to_44_who_have_less_than_primary_school_completion_Percentage_disaggregation_b" displayName="Table_E2.6.b_Share_of_adults_age_15_to_44_who_have_less_than_primary_school_completion_Percentage_disaggregation_b" ref="G97:N113" totalsRowShown="0" headerRowDxfId="1720" dataDxfId="1719">
  <autoFilter ref="G97:N113" xr:uid="{A9FB426F-87ED-0743-8EFE-21C78ABFE66A}"/>
  <tableColumns count="8">
    <tableColumn id="1" xr3:uid="{26C64565-A378-3C41-8150-544821B00309}" name="Region" dataDxfId="1718"/>
    <tableColumn id="2" xr3:uid="{6D9F4B2F-2588-6E4E-8D7C-C11E77FABFAE}" name="No difficulty" dataDxfId="1717"/>
    <tableColumn id="3" xr3:uid="{6087A930-3FA0-8F4C-BFA1-D89E05E80D2D}" name="Some difficulty" dataDxfId="1716"/>
    <tableColumn id="4" xr3:uid="{B26120F5-0CFF-9C45-BF5D-A0A091F7830F}" name="Difference" dataDxfId="1715"/>
    <tableColumn id="5" xr3:uid="{73F327AF-A019-7A4E-89AA-EB363C8032A9}" name="Statistical Significance of the Difference" dataDxfId="1714">
      <calculatedColumnFormula>IF(       0&lt;0.01,"***",IF(       0&lt;0.05,"**",IF(       0&lt;0.1,"*","NS")))</calculatedColumnFormula>
    </tableColumn>
    <tableColumn id="6" xr3:uid="{913A19DE-9283-9443-AACE-9BB49865E484}" name="At least a lot of difficulty" dataDxfId="1713"/>
    <tableColumn id="7" xr3:uid="{4D4B229A-295F-5F43-B37C-57B01BF526BA}" name="Difference No difficulty &amp; At least a lot of difficulty" dataDxfId="1712"/>
    <tableColumn id="8" xr3:uid="{981D0DD8-83B5-4A40-94FF-F04B2F69484F}" name="Statistical Significance of the Difference (No difficulty vs At least a lot)" dataDxfId="1711"/>
  </tableColumns>
  <tableStyleInfo name="TableStyleMedium2" showFirstColumn="1" showLastColumn="0" showRowStripes="1" showColumnStripes="0"/>
</table>
</file>

<file path=xl/tables/table6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CE0A2404-0BE3-0440-8406-FA7B6CC8BBAA}" name="Table_E2.6.c_Share_of_adults_age_15_to_44_who_have_less_than_primary_school_completion_Percentage_disaggregation_c" displayName="Table_E2.6.c_Share_of_adults_age_15_to_44_who_have_less_than_primary_school_completion_Percentage_disaggregation_c" ref="P97:T113" totalsRowShown="0" headerRowDxfId="1710" dataDxfId="1709">
  <autoFilter ref="P97:T113" xr:uid="{CE0A2404-0BE3-0440-8406-FA7B6CC8BBAA}"/>
  <tableColumns count="5">
    <tableColumn id="1" xr3:uid="{866A308E-E1D1-F64C-B9F3-6A8D41368A2B}" name="Region" dataDxfId="1708"/>
    <tableColumn id="2" xr3:uid="{283DBEF1-5F79-4345-8D5E-832F672CD1FC}" name="No or some difficulty" dataDxfId="1707"/>
    <tableColumn id="3" xr3:uid="{DE4427AA-99E0-8443-A56B-A83596FDDF97}" name="At least a lot of difficulty" dataDxfId="1706"/>
    <tableColumn id="4" xr3:uid="{8DBDF5A2-BE09-FA4C-8FD9-B9374C5C1F2C}" name="Difference" dataDxfId="1705"/>
    <tableColumn id="5" xr3:uid="{3C86F4BD-7D20-994F-8070-35EC7F388AE8}" name="Statistical Significance of the Difference" dataDxfId="1704"/>
  </tableColumns>
  <tableStyleInfo name="TableStyleMedium2" showFirstColumn="1" showLastColumn="0" showRowStripes="1" showColumnStripes="0"/>
</table>
</file>

<file path=xl/tables/table6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5" xr:uid="{5C2B3312-7071-324A-940A-EDD4B6748023}" name="Table_E2.7.a_Share_of_adults_age_45_and_older_who_have_less_than_primary_school_completion_Percentage_disaggregation_a" displayName="Table_E2.7.a_Share_of_adults_age_45_and_older_who_have_less_than_primary_school_completion_Percentage_disaggregation_a" ref="A116:E132" totalsRowShown="0" headerRowDxfId="1703" dataDxfId="1702">
  <autoFilter ref="A116:E132" xr:uid="{5C2B3312-7071-324A-940A-EDD4B6748023}"/>
  <tableColumns count="5">
    <tableColumn id="1" xr3:uid="{965DC798-1BE4-BB42-835B-3F212B9B5632}" name="Region" dataDxfId="1701"/>
    <tableColumn id="2" xr3:uid="{14C13F7C-3E0D-7C4D-BE82-8572604CD11E}" name="No difficulty" dataDxfId="1700"/>
    <tableColumn id="3" xr3:uid="{134A01D3-6FF0-CA48-9798-46B88E99AAFE}" name="Any difficulty" dataDxfId="1699"/>
    <tableColumn id="4" xr3:uid="{0C38EBF8-EBB0-ED4A-8B39-B567BE5E19AE}" name="Difference" dataDxfId="1698"/>
    <tableColumn id="5" xr3:uid="{5D19AA73-9D17-7545-9F7F-2A714611262C}" name="Statistical Significance of the Difference" dataDxfId="1697"/>
  </tableColumns>
  <tableStyleInfo name="TableStyleMedium2" showFirstColumn="1" showLastColumn="0" showRowStripes="1" showColumnStripes="0"/>
</table>
</file>

<file path=xl/tables/table6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6" xr:uid="{782733BF-6721-7C46-8538-A3D8237725F5}" name="Table_E2.7.b_Share_of_adults_age_45_and_older_who_have_less_than_primary_school_completion_Percentage_disaggregation_b" displayName="Table_E2.7.b_Share_of_adults_age_45_and_older_who_have_less_than_primary_school_completion_Percentage_disaggregation_b" ref="G116:N132" totalsRowShown="0" headerRowDxfId="1696" dataDxfId="1695">
  <autoFilter ref="G116:N132" xr:uid="{782733BF-6721-7C46-8538-A3D8237725F5}"/>
  <tableColumns count="8">
    <tableColumn id="1" xr3:uid="{8E0BFE54-102E-0447-A6A6-75364C840F29}" name="Region" dataDxfId="1694"/>
    <tableColumn id="2" xr3:uid="{3C9DAC3A-D17B-BA49-95C4-076CB896215F}" name="No difficulty" dataDxfId="1693"/>
    <tableColumn id="3" xr3:uid="{6F52E123-230A-CD4F-93E8-4435FE11E2FD}" name="Some difficulty" dataDxfId="1692"/>
    <tableColumn id="4" xr3:uid="{DE625708-E457-5644-8493-A9187AF86F7E}" name="Difference" dataDxfId="1691"/>
    <tableColumn id="5" xr3:uid="{D631E1BA-9336-6647-AE7F-23B49CE184F8}" name="Statistical Significance of the Difference" dataDxfId="1690"/>
    <tableColumn id="6" xr3:uid="{A4CFAADC-8245-0645-869E-A85BD0A212D1}" name="At least a lot of difficulty" dataDxfId="1689"/>
    <tableColumn id="7" xr3:uid="{3597F074-ED84-C14D-BCE2-2B7C88AEFFB5}" name="Difference No difficulty &amp; At least a lot of difficulty" dataDxfId="1688"/>
    <tableColumn id="8" xr3:uid="{021A3497-7CEF-9D4D-A397-A0027D27D6D7}" name="Statistical Significance of the Difference (No difficulty vs At least a lot)" dataDxfId="1687"/>
  </tableColumns>
  <tableStyleInfo name="TableStyleMedium2" showFirstColumn="1" showLastColumn="0" showRowStripes="1" showColumnStripes="0"/>
</table>
</file>

<file path=xl/tables/table6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7" xr:uid="{56887C77-3FD6-B54C-993B-0F9D926C0A15}" name="Table_E2.7.c_Share_of_adults_age_45_and_older_who_have_less_than_primary_school_completion_Percentage_disaggregation_c" displayName="Table_E2.7.c_Share_of_adults_age_45_and_older_who_have_less_than_primary_school_completion_Percentage_disaggregation_c" ref="P116:T132" totalsRowShown="0" headerRowDxfId="1686" dataDxfId="1685">
  <autoFilter ref="P116:T132" xr:uid="{56887C77-3FD6-B54C-993B-0F9D926C0A15}"/>
  <tableColumns count="5">
    <tableColumn id="1" xr3:uid="{7D7157FC-49C3-F746-B84A-4FF056549C63}" name="Region" dataDxfId="1684"/>
    <tableColumn id="2" xr3:uid="{F24DF011-A090-344F-A487-8AD546BE6434}" name="No or some difficulty" dataDxfId="1683"/>
    <tableColumn id="3" xr3:uid="{061E9830-8E73-BE44-9D99-0FBFEF0EB623}" name="At least a lot of difficulty" dataDxfId="1682"/>
    <tableColumn id="4" xr3:uid="{D425B782-2E86-874E-8F43-0A9237264B76}" name="Difference" dataDxfId="1681"/>
    <tableColumn id="5" xr3:uid="{0943A561-4323-8148-A294-0433085CC0AD}" name="Statistical Significance of the Difference" dataDxfId="1680"/>
  </tableColumns>
  <tableStyleInfo name="TableStyleMedium2" showFirstColumn="1" showLastColumn="0" showRowStripes="1" showColumnStripes="0"/>
</table>
</file>

<file path=xl/tables/table6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8" xr:uid="{A1FE32EA-373C-7C4D-8DD6-B49CAD0ED74C}" name="Table_E3.1.a_Share_of_all_adults_who_have_completed_primary_school_Percentage_disaggregation_a" displayName="Table_E3.1.a_Share_of_all_adults_who_have_completed_primary_school_Percentage_disaggregation_a" ref="A2:E18" totalsRowShown="0" headerRowDxfId="1679" dataDxfId="1678">
  <autoFilter ref="A2:E18" xr:uid="{A1FE32EA-373C-7C4D-8DD6-B49CAD0ED74C}"/>
  <tableColumns count="5">
    <tableColumn id="1" xr3:uid="{460C8E3D-1F23-9944-8096-D0203386CC71}" name="Region" dataDxfId="1677"/>
    <tableColumn id="2" xr3:uid="{7D929E02-1573-1E45-BEFE-B7C6D0D4A816}" name="No difficulty" dataDxfId="1676"/>
    <tableColumn id="3" xr3:uid="{B31018A4-E48C-8A4C-BD91-8726622635AA}" name="Any difficulty" dataDxfId="1675"/>
    <tableColumn id="4" xr3:uid="{51FEB9C7-3F54-5246-A8AA-09483EA3DE01}" name="Difference" dataDxfId="1674"/>
    <tableColumn id="5" xr3:uid="{46446AD1-E951-FA47-B02C-77774F7B76DF}" name="Statistical Significance of the Difference" dataDxfId="1673">
      <calculatedColumnFormula>IF(       0&lt;0.01,"***",IF(       0&lt;0.05,"**",IF(       0&lt;0.1,"*","NS")))</calculatedColumnFormula>
    </tableColumn>
  </tableColumns>
  <tableStyleInfo name="TableStyleMedium2"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19A57AF-1D37-7B4C-B1BC-BA67CA61B9B1}" name="Table_P1.6_Share_of_adults_age_15_to_44_with_functional_difficulties_Percentage" displayName="Table_P1.6_Share_of_adults_age_15_to_44_with_functional_difficulties_Percentage" ref="A97:D113" totalsRowShown="0" headerRowDxfId="2192" dataDxfId="2191">
  <autoFilter ref="A97:D113" xr:uid="{219A57AF-1D37-7B4C-B1BC-BA67CA61B9B1}"/>
  <tableColumns count="4">
    <tableColumn id="1" xr3:uid="{65950B51-BE11-484C-A740-6647C4526639}" name="Region" dataDxfId="2190"/>
    <tableColumn id="2" xr3:uid="{A8C152BA-927B-9145-9EA2-E069CD8B8CD4}" name="Any difficulty" dataDxfId="2189"/>
    <tableColumn id="3" xr3:uid="{E4843779-7917-FD49-AA67-5136AD5CA6CC}" name="Some difficulty" dataDxfId="2188"/>
    <tableColumn id="4" xr3:uid="{4072D6EE-A4AD-A14E-AD64-F2734410C46B}" name="At least a lot of difficulty" dataDxfId="2187"/>
  </tableColumns>
  <tableStyleInfo name="TableStyleMedium2" showFirstColumn="1" showLastColumn="0" showRowStripes="1" showColumnStripes="0"/>
</table>
</file>

<file path=xl/tables/table7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9" xr:uid="{411B3A0D-90ED-7549-BC21-8588BF801CEE}" name="Table_E3.1.b_Share_of_all_adults_who_have_completed_primary_school_Percentage_disaggregation_b" displayName="Table_E3.1.b_Share_of_all_adults_who_have_completed_primary_school_Percentage_disaggregation_b" ref="G2:N18" totalsRowShown="0" headerRowDxfId="1672" dataDxfId="1671">
  <autoFilter ref="G2:N18" xr:uid="{411B3A0D-90ED-7549-BC21-8588BF801CEE}"/>
  <tableColumns count="8">
    <tableColumn id="1" xr3:uid="{4C921C39-7243-A74E-AEF0-D64B43DCC063}" name="Region" dataDxfId="1670"/>
    <tableColumn id="2" xr3:uid="{C39A8D9E-7DBA-1643-8E07-CDB7E095924C}" name="No difficulty" dataDxfId="1669"/>
    <tableColumn id="3" xr3:uid="{E273BA23-6688-6243-AE88-482B32A10D39}" name="Some difficulty" dataDxfId="1668"/>
    <tableColumn id="4" xr3:uid="{D867A4BA-2851-864F-B6C1-C3D20D6D0FE5}" name="Difference" dataDxfId="1667"/>
    <tableColumn id="5" xr3:uid="{6D778DB2-71C5-8640-901E-6536A8DC200D}" name="Statistical Significance of the Difference" dataDxfId="1666">
      <calculatedColumnFormula>IF(       0&lt;0.01,"***",IF(       0&lt;0.05,"**",IF(       0&lt;0.1,"*","NS")))</calculatedColumnFormula>
    </tableColumn>
    <tableColumn id="6" xr3:uid="{7B96A6F6-A80C-0441-8D39-BA42C50F7263}" name="At least a lot of difficulty" dataDxfId="1665"/>
    <tableColumn id="7" xr3:uid="{924490A6-8BE6-8644-ABEC-E7778BEDB739}" name="Difference No difficulty &amp; At least a lot of difficulty" dataDxfId="1664"/>
    <tableColumn id="8" xr3:uid="{848C2CD6-1915-9341-9C9D-2C6795A68954}" name="Statistical Significance of the Difference (No difficulty vs At least a lot)" dataDxfId="1663">
      <calculatedColumnFormula>IF(       0&lt;0.01,"***",IF(       0&lt;0.05,"**",IF(       0&lt;0.1,"*","NS")))</calculatedColumnFormula>
    </tableColumn>
  </tableColumns>
  <tableStyleInfo name="TableStyleMedium2" showFirstColumn="1" showLastColumn="0" showRowStripes="1" showColumnStripes="0"/>
</table>
</file>

<file path=xl/tables/table7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0" xr:uid="{5E19105B-013B-BD4E-9484-B30F3F054182}" name="Table_E3.1.c_Share_of_all_adults_who_have_completed_primary_school_Percentage_disaggregation_c" displayName="Table_E3.1.c_Share_of_all_adults_who_have_completed_primary_school_Percentage_disaggregation_c" ref="P2:T18" totalsRowShown="0" headerRowDxfId="1662" dataDxfId="1661">
  <autoFilter ref="P2:T18" xr:uid="{5E19105B-013B-BD4E-9484-B30F3F054182}"/>
  <tableColumns count="5">
    <tableColumn id="1" xr3:uid="{8620290C-EA37-8941-B14F-EFA7024F8C90}" name="Region" dataDxfId="1660"/>
    <tableColumn id="2" xr3:uid="{B7737099-F50E-C84C-9F13-54DDE9B337CC}" name="No or some difficulty" dataDxfId="1659"/>
    <tableColumn id="3" xr3:uid="{C4327702-1388-BC4B-B291-A995A4A5BFC3}" name="At least a lot of difficulty" dataDxfId="1658"/>
    <tableColumn id="4" xr3:uid="{EF6588C8-437B-7E4F-8ACF-0638873D0581}" name="Difference" dataDxfId="1657"/>
    <tableColumn id="5" xr3:uid="{0E6D97CD-C72E-2F45-ADED-21DCBEBEBA6D}" name="Statistical Significance of the Difference" dataDxfId="1656">
      <calculatedColumnFormula>IF(       0&lt;0.01,"***",IF(       0&lt;0.05,"**",IF(       0&lt;0.1,"*","NS")))</calculatedColumnFormula>
    </tableColumn>
  </tableColumns>
  <tableStyleInfo name="TableStyleMedium2" showFirstColumn="1" showLastColumn="0" showRowStripes="1" showColumnStripes="0"/>
</table>
</file>

<file path=xl/tables/table7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1" xr:uid="{34CFB8D8-18A6-1A4B-A7CD-BE263ACECBE9}" name="Table_E3.2.a_Share_of_females_who_have_completed_primary_school_Percentage_disaggregation_a" displayName="Table_E3.2.a_Share_of_females_who_have_completed_primary_school_Percentage_disaggregation_a" ref="A21:E37" totalsRowShown="0" headerRowDxfId="1655" dataDxfId="1654">
  <autoFilter ref="A21:E37" xr:uid="{34CFB8D8-18A6-1A4B-A7CD-BE263ACECBE9}"/>
  <tableColumns count="5">
    <tableColumn id="1" xr3:uid="{840765CA-9315-464F-82EC-A0545423D8C5}" name="Region" dataDxfId="1653"/>
    <tableColumn id="2" xr3:uid="{37F023E3-9C48-B745-817F-1C8E323C2EA2}" name="No difficulty" dataDxfId="1652"/>
    <tableColumn id="3" xr3:uid="{94D89446-4DC1-5948-BD98-60A410628BF2}" name="Any difficulty" dataDxfId="1651"/>
    <tableColumn id="4" xr3:uid="{C0FB26A8-856E-F64A-83E2-15181B4F2E89}" name="Difference" dataDxfId="1650"/>
    <tableColumn id="5" xr3:uid="{B493B158-5266-F041-849A-BCFACC73D16F}" name="Statistical Significance of the Difference" dataDxfId="1649">
      <calculatedColumnFormula>IF(       0&lt;0.01,"***",IF(       0&lt;0.05,"**",IF(       0&lt;0.1,"*","NS")))</calculatedColumnFormula>
    </tableColumn>
  </tableColumns>
  <tableStyleInfo name="TableStyleMedium2" showFirstColumn="1" showLastColumn="0" showRowStripes="1" showColumnStripes="0"/>
</table>
</file>

<file path=xl/tables/table7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2" xr:uid="{E47198FC-BE72-8749-9906-5F0F821F2EAF}" name="Table_E3.2.b_Share_of_females_who_have_completed_primary_school_Percentage_disaggregation_b" displayName="Table_E3.2.b_Share_of_females_who_have_completed_primary_school_Percentage_disaggregation_b" ref="G21:N37" totalsRowShown="0" headerRowDxfId="1648" dataDxfId="1647">
  <autoFilter ref="G21:N37" xr:uid="{E47198FC-BE72-8749-9906-5F0F821F2EAF}"/>
  <tableColumns count="8">
    <tableColumn id="1" xr3:uid="{D355A74B-3A92-F84E-B180-D722EFFE86E4}" name="Region" dataDxfId="1646"/>
    <tableColumn id="2" xr3:uid="{53CBC6F4-0A48-CA4F-8D3E-033D8D72D9F1}" name="No difficulty" dataDxfId="1645"/>
    <tableColumn id="3" xr3:uid="{3C1F0FCE-A114-BB4B-855B-D328C0664C9D}" name="Some difficulty" dataDxfId="1644"/>
    <tableColumn id="4" xr3:uid="{2FF505AC-3D49-6545-A947-0A5026EA2817}" name="Difference" dataDxfId="1643"/>
    <tableColumn id="5" xr3:uid="{A87F466B-21E2-E94C-8448-0ED015A2DE34}" name="Statistical Significance of the Difference" dataDxfId="1642">
      <calculatedColumnFormula>IF(       0&lt;0.01,"***",IF(       0&lt;0.05,"**",IF(       0&lt;0.1,"*","NS")))</calculatedColumnFormula>
    </tableColumn>
    <tableColumn id="6" xr3:uid="{111B4B0A-97FC-984F-B596-8BC9310900C2}" name="At least a lot of difficulty" dataDxfId="1641"/>
    <tableColumn id="7" xr3:uid="{29412F3B-728A-F545-97CF-E9F208173BED}" name="Difference No difficulty &amp; At least a lot of difficulty" dataDxfId="1640"/>
    <tableColumn id="8" xr3:uid="{1116A794-1718-B34F-A714-9C3F3A1B9193}" name="Statistical Significance of the Difference (No difficulty vs At least a lot)" dataDxfId="1639">
      <calculatedColumnFormula>IF(       0&lt;0.01,"***",IF(       0&lt;0.05,"**",IF(       0&lt;0.1,"*","NS")))</calculatedColumnFormula>
    </tableColumn>
  </tableColumns>
  <tableStyleInfo name="TableStyleMedium2" showFirstColumn="1" showLastColumn="0" showRowStripes="1" showColumnStripes="0"/>
</table>
</file>

<file path=xl/tables/table7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3" xr:uid="{08B0DBAF-42D9-8E4F-8F7C-5BE1D1C7D906}" name="Table_E3.2.c_Share_of_females_who_have_completed_primary_school_Percentage_disaggregation_c" displayName="Table_E3.2.c_Share_of_females_who_have_completed_primary_school_Percentage_disaggregation_c" ref="P21:T37" totalsRowShown="0" headerRowDxfId="1638" dataDxfId="1637">
  <autoFilter ref="P21:T37" xr:uid="{08B0DBAF-42D9-8E4F-8F7C-5BE1D1C7D906}"/>
  <tableColumns count="5">
    <tableColumn id="1" xr3:uid="{3E444EA2-7721-084B-B6D1-E20282C41BED}" name="Region" dataDxfId="1636"/>
    <tableColumn id="2" xr3:uid="{FFE9C59F-BC16-3743-BB08-206C620DFC7A}" name="No or some difficulty" dataDxfId="1635"/>
    <tableColumn id="3" xr3:uid="{F114CF2A-B552-A74A-A279-E867DE035365}" name="At least a lot of difficulty" dataDxfId="1634"/>
    <tableColumn id="4" xr3:uid="{3D24E94F-6ECD-5E4B-ABE6-B7520C26CA8D}" name="Difference" dataDxfId="1633"/>
    <tableColumn id="5" xr3:uid="{075CCAF3-D331-0947-85A9-EDDFAAEE19F9}" name="Statistical Significance of the Difference" dataDxfId="1632">
      <calculatedColumnFormula>IF(       0&lt;0.01,"***",IF(       0&lt;0.05,"**",IF(       0&lt;0.1,"*","NS")))</calculatedColumnFormula>
    </tableColumn>
  </tableColumns>
  <tableStyleInfo name="TableStyleMedium2" showFirstColumn="1" showLastColumn="0" showRowStripes="1" showColumnStripes="0"/>
</table>
</file>

<file path=xl/tables/table7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4" xr:uid="{88C880BE-68A1-7444-8E3A-B608AAE18470}" name="Table_E3.3.a_Share_of_males_who_have_completed_primary_school_Percentage_disaggregation_a" displayName="Table_E3.3.a_Share_of_males_who_have_completed_primary_school_Percentage_disaggregation_a" ref="A40:E56" totalsRowShown="0" headerRowDxfId="1631" dataDxfId="1630">
  <autoFilter ref="A40:E56" xr:uid="{88C880BE-68A1-7444-8E3A-B608AAE18470}"/>
  <tableColumns count="5">
    <tableColumn id="1" xr3:uid="{FE4D0D9E-EC78-A843-8648-39E576F1855C}" name="Region" dataDxfId="1629"/>
    <tableColumn id="2" xr3:uid="{0F989DDE-9B76-4E4B-A713-524222C010CA}" name="No difficulty" dataDxfId="1628"/>
    <tableColumn id="3" xr3:uid="{908C0249-4315-F743-B26F-527DF4D56C93}" name="Any difficulty" dataDxfId="1627"/>
    <tableColumn id="4" xr3:uid="{795B10BA-5257-FF4C-BD38-DD530F31B379}" name="Difference" dataDxfId="1626"/>
    <tableColumn id="5" xr3:uid="{C29BE737-217F-4847-B787-0A09FE781C49}" name="Statistical Significance of the Difference" dataDxfId="1625"/>
  </tableColumns>
  <tableStyleInfo name="TableStyleMedium2" showFirstColumn="1" showLastColumn="0" showRowStripes="1" showColumnStripes="0"/>
</table>
</file>

<file path=xl/tables/table7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5" xr:uid="{DF3320A5-AB2E-D342-8B3F-4FD9EDA2F9D3}" name="Table_E3.3.b_Share_of_males_who_have_completed_primary_school_Percentage_disaggregation_b" displayName="Table_E3.3.b_Share_of_males_who_have_completed_primary_school_Percentage_disaggregation_b" ref="G40:N56" totalsRowShown="0" headerRowDxfId="1624" dataDxfId="1623">
  <autoFilter ref="G40:N56" xr:uid="{DF3320A5-AB2E-D342-8B3F-4FD9EDA2F9D3}"/>
  <tableColumns count="8">
    <tableColumn id="1" xr3:uid="{82902B08-9F47-D14A-B4CD-FC8441DAB210}" name="Region" dataDxfId="1622"/>
    <tableColumn id="2" xr3:uid="{90F7CBB8-782E-8A48-A0D3-AA3AAB2D3326}" name="No difficulty" dataDxfId="1621"/>
    <tableColumn id="3" xr3:uid="{407FDA2A-B259-654B-98D6-44779DF80FAF}" name="Some difficulty" dataDxfId="1620"/>
    <tableColumn id="4" xr3:uid="{1835CE49-0D77-DD47-86A3-059BF4E44BA6}" name="Difference" dataDxfId="1619"/>
    <tableColumn id="5" xr3:uid="{098566D2-5D8F-574D-92A9-E30F41037E04}" name="Statistical Significance of the Difference" dataDxfId="1618"/>
    <tableColumn id="6" xr3:uid="{4958D895-BD28-8B46-AE13-FCFD7D280E67}" name="At least a lot of difficulty" dataDxfId="1617"/>
    <tableColumn id="7" xr3:uid="{EEA684FC-4008-634D-BE9B-D857946A6B2E}" name="Difference No difficulty &amp; At least a lot of difficulty" dataDxfId="1616"/>
    <tableColumn id="8" xr3:uid="{41FB3448-0869-3244-AB21-EE7DC42ABB1E}" name="Statistical Significance of the Difference (No difficulty vs At least a lot)" dataDxfId="1615"/>
  </tableColumns>
  <tableStyleInfo name="TableStyleMedium2" showFirstColumn="1" showLastColumn="0" showRowStripes="1" showColumnStripes="0"/>
</table>
</file>

<file path=xl/tables/table7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6" xr:uid="{2FCF9337-8E87-B349-9D8C-A941B4F9DA35}" name="Table_E3.3.c_Share_of_males_who_have_completed_primary_school_Percentage_disaggregation_c" displayName="Table_E3.3.c_Share_of_males_who_have_completed_primary_school_Percentage_disaggregation_c" ref="P40:T56" totalsRowShown="0" headerRowDxfId="1614" dataDxfId="1613">
  <autoFilter ref="P40:T56" xr:uid="{2FCF9337-8E87-B349-9D8C-A941B4F9DA35}"/>
  <tableColumns count="5">
    <tableColumn id="1" xr3:uid="{C3DF6CF4-A8E6-2A40-8990-8697C00EE420}" name="Region" dataDxfId="1612"/>
    <tableColumn id="2" xr3:uid="{878F4C5D-73DB-BE4E-BCBF-1F6B18D0ED02}" name="No or some difficulty" dataDxfId="1611"/>
    <tableColumn id="3" xr3:uid="{30EEAF6C-F93E-634E-AD1A-CCB7D2FDB7CB}" name="At least a lot of difficulty" dataDxfId="1610"/>
    <tableColumn id="4" xr3:uid="{656730C3-59B4-FD40-9FC5-CCA4424A2A94}" name="Difference" dataDxfId="1609"/>
    <tableColumn id="5" xr3:uid="{8211CB5A-ACBB-CE48-8CEE-A2E9D7D5EFF1}" name="Statistical Significance of the Difference" dataDxfId="1608"/>
  </tableColumns>
  <tableStyleInfo name="TableStyleMedium2" showFirstColumn="1" showLastColumn="0" showRowStripes="1" showColumnStripes="0"/>
</table>
</file>

<file path=xl/tables/table7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7" xr:uid="{91A8B7FA-A13F-7F4C-B263-1FD607E67344}" name="Table_E3.4.a_Share_of_rural_residents_who_have_completed_primary_school_Percentage_disaggregation_a" displayName="Table_E3.4.a_Share_of_rural_residents_who_have_completed_primary_school_Percentage_disaggregation_a" ref="A59:E75" totalsRowShown="0" headerRowDxfId="1607" dataDxfId="1606">
  <autoFilter ref="A59:E75" xr:uid="{91A8B7FA-A13F-7F4C-B263-1FD607E67344}"/>
  <tableColumns count="5">
    <tableColumn id="1" xr3:uid="{4B4F2A56-C7A7-0845-83B9-DDFF1ABEBFF9}" name="Region" dataDxfId="1605"/>
    <tableColumn id="2" xr3:uid="{A239DAB6-AC8D-8E41-AD32-221D811DEF52}" name="No difficulty" dataDxfId="1604"/>
    <tableColumn id="3" xr3:uid="{E4906D47-1030-104C-95BB-E9D542AAAD1B}" name="Any difficulty" dataDxfId="1603"/>
    <tableColumn id="4" xr3:uid="{C2E7B6DF-1961-884F-A860-883E32F5C46E}" name="Difference" dataDxfId="1602"/>
    <tableColumn id="5" xr3:uid="{58D60563-350E-4143-A423-974358053E0D}" name="Statistical Significance of the Difference" dataDxfId="1601"/>
  </tableColumns>
  <tableStyleInfo name="TableStyleMedium2" showFirstColumn="1" showLastColumn="0" showRowStripes="1" showColumnStripes="0"/>
</table>
</file>

<file path=xl/tables/table7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8" xr:uid="{A39DBB72-8287-5B43-B9CB-3F6DC5E21DBB}" name="Table_E3.4.b_Share_of_rural_residents_who_have_completed_primary_school_Percentage_disaggregation_b" displayName="Table_E3.4.b_Share_of_rural_residents_who_have_completed_primary_school_Percentage_disaggregation_b" ref="G59:N75" totalsRowShown="0" headerRowDxfId="1600" dataDxfId="1599">
  <autoFilter ref="G59:N75" xr:uid="{A39DBB72-8287-5B43-B9CB-3F6DC5E21DBB}"/>
  <tableColumns count="8">
    <tableColumn id="1" xr3:uid="{8FE23884-A7D9-9D40-862D-527AFB39F169}" name="Region" dataDxfId="1598"/>
    <tableColumn id="2" xr3:uid="{4965A35E-390A-5347-86F0-9E5154DBF5C7}" name="No difficulty" dataDxfId="1597"/>
    <tableColumn id="3" xr3:uid="{5BDF4C52-0002-9B48-B24C-A9D6F3FF2524}" name="Some difficulty" dataDxfId="1596"/>
    <tableColumn id="4" xr3:uid="{07BD0F24-E437-7645-B434-97DB7EA1B173}" name="Difference" dataDxfId="1595"/>
    <tableColumn id="5" xr3:uid="{42F6C99D-F278-8E42-BD84-AAD6DFBB6D19}" name="Statistical Significance of the Difference" dataDxfId="1594"/>
    <tableColumn id="6" xr3:uid="{5E4CE53E-3C86-E44A-87A6-6350FEE2EA9C}" name="At least a lot of difficulty" dataDxfId="1593"/>
    <tableColumn id="7" xr3:uid="{2CBE567D-6B55-B941-86EF-08A502B95962}" name="Difference No difficulty &amp; At least a lot of difficulty" dataDxfId="1592"/>
    <tableColumn id="8" xr3:uid="{358783E5-D819-AC4A-8B32-CB35F1B9952E}" name="Statistical Significance of the Difference (No difficulty vs At least a lot)" dataDxfId="1591"/>
  </tableColumns>
  <tableStyleInfo name="TableStyleMedium2"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8A4E3B60-C2B7-A345-BB35-496B9CB9C083}" name="Table_P1.7_Share_of_adults_age_45_and_older_with_functional_difficulties_Percentage" displayName="Table_P1.7_Share_of_adults_age_45_and_older_with_functional_difficulties_Percentage" ref="A116:D132" totalsRowShown="0" headerRowDxfId="2186" dataDxfId="2185">
  <autoFilter ref="A116:D132" xr:uid="{8A4E3B60-C2B7-A345-BB35-496B9CB9C083}"/>
  <tableColumns count="4">
    <tableColumn id="1" xr3:uid="{F67018B5-4BF7-3B43-BC07-A559A62B446F}" name="Region" dataDxfId="2184"/>
    <tableColumn id="2" xr3:uid="{AB647ECF-5663-3340-BA39-ABCEF1DEDF8F}" name="Any difficulty" dataDxfId="2183"/>
    <tableColumn id="3" xr3:uid="{2C4CB2B8-1BD2-D547-AF26-D3484BB4C98B}" name="Some difficulty" dataDxfId="2182"/>
    <tableColumn id="4" xr3:uid="{461A2D3F-3A76-DC43-8D75-10781D870C39}" name="At least a lot of difficulty" dataDxfId="2181"/>
  </tableColumns>
  <tableStyleInfo name="TableStyleMedium2" showFirstColumn="1" showLastColumn="0" showRowStripes="1" showColumnStripes="0"/>
</table>
</file>

<file path=xl/tables/table8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9" xr:uid="{345CE84D-8A47-494A-95D4-6673C491495C}" name="Table_E3.4.c_Share_of_rural_residents_who_have_completed_primary_school_Percentage_disaggregation_c" displayName="Table_E3.4.c_Share_of_rural_residents_who_have_completed_primary_school_Percentage_disaggregation_c" ref="P59:T75" totalsRowShown="0" headerRowDxfId="1590" dataDxfId="1589">
  <autoFilter ref="P59:T75" xr:uid="{345CE84D-8A47-494A-95D4-6673C491495C}"/>
  <tableColumns count="5">
    <tableColumn id="1" xr3:uid="{8E64C488-80A3-B644-94D9-1269CDEA7AFC}" name="Region" dataDxfId="1588"/>
    <tableColumn id="2" xr3:uid="{7A53710A-8B53-E142-9C06-C0EE873A335D}" name="No or some difficulty" dataDxfId="1587"/>
    <tableColumn id="3" xr3:uid="{A7DDFE12-2BAB-114A-B447-E4DC00BA8B40}" name="At least a lot of difficulty" dataDxfId="1586"/>
    <tableColumn id="4" xr3:uid="{46B4D1C3-9616-2140-8E1B-160E764B313F}" name="Difference" dataDxfId="1585"/>
    <tableColumn id="5" xr3:uid="{47909271-4752-E440-BDF7-BB74B36C6E9B}" name="Statistical Significance of the Difference" dataDxfId="1584"/>
  </tableColumns>
  <tableStyleInfo name="TableStyleMedium2" showFirstColumn="1" showLastColumn="0" showRowStripes="1" showColumnStripes="0"/>
</table>
</file>

<file path=xl/tables/table8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0" xr:uid="{93D1E943-77F8-8242-93DC-F0DC21E133C1}" name="Table_E3.5.a_Share_of_urban_residents_who_have_completed_primary_school_Percentage_disaggregation_a" displayName="Table_E3.5.a_Share_of_urban_residents_who_have_completed_primary_school_Percentage_disaggregation_a" ref="A78:E94" totalsRowShown="0" headerRowDxfId="1583" dataDxfId="1582">
  <autoFilter ref="A78:E94" xr:uid="{93D1E943-77F8-8242-93DC-F0DC21E133C1}"/>
  <tableColumns count="5">
    <tableColumn id="1" xr3:uid="{E14C706A-4FE0-DC45-A173-8293D58EB13A}" name="Region" dataDxfId="1581"/>
    <tableColumn id="2" xr3:uid="{51CA5715-73C6-5341-8C0B-DADE8C695755}" name="No difficulty" dataDxfId="1580"/>
    <tableColumn id="3" xr3:uid="{9D4A4F21-2A2E-D243-ACD6-BC08A9C56012}" name="Any difficulty" dataDxfId="1579"/>
    <tableColumn id="4" xr3:uid="{ECB68E15-614C-384E-B330-D2E8F1AE4CD8}" name="Difference" dataDxfId="1578"/>
    <tableColumn id="5" xr3:uid="{88261AC6-34C3-6C47-B8FB-4F5DE9132513}" name="Statistical Significance of the Difference" dataDxfId="1577"/>
  </tableColumns>
  <tableStyleInfo name="TableStyleMedium2" showFirstColumn="1" showLastColumn="0" showRowStripes="1" showColumnStripes="0"/>
</table>
</file>

<file path=xl/tables/table8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1" xr:uid="{A2D71107-FB80-F34C-B536-DFB0E5E7B108}" name="Table_E3.5.b_Share_of_urban_residents_who_have_completed_primary_school_Percentage_disaggregation_b" displayName="Table_E3.5.b_Share_of_urban_residents_who_have_completed_primary_school_Percentage_disaggregation_b" ref="G78:N94" totalsRowShown="0" headerRowDxfId="1576" dataDxfId="1575">
  <autoFilter ref="G78:N94" xr:uid="{A2D71107-FB80-F34C-B536-DFB0E5E7B108}"/>
  <tableColumns count="8">
    <tableColumn id="1" xr3:uid="{167C28B9-97F5-C64D-A053-DA33025D605E}" name="Region" dataDxfId="1574"/>
    <tableColumn id="2" xr3:uid="{17693C65-1907-BE48-842F-A90CE37D7DF7}" name="No difficulty" dataDxfId="1573"/>
    <tableColumn id="3" xr3:uid="{B2913130-5D8F-C742-9D14-31E03FF397C6}" name="Some difficulty" dataDxfId="1572"/>
    <tableColumn id="4" xr3:uid="{515F9791-E980-E540-A005-248A3CC70452}" name="Difference" dataDxfId="1571"/>
    <tableColumn id="5" xr3:uid="{19F852E8-2A57-0F4C-AB2C-9963476297AC}" name="Statistical Significance of the Difference" dataDxfId="1570"/>
    <tableColumn id="6" xr3:uid="{ED9249BE-F0C9-2D40-A578-7698596C2F88}" name="At least a lot of difficulty" dataDxfId="1569"/>
    <tableColumn id="7" xr3:uid="{3A343014-2AE1-3B49-A622-75F3E28FCA07}" name="Difference No difficulty &amp; At least a lot of difficulty" dataDxfId="1568"/>
    <tableColumn id="8" xr3:uid="{00FF228A-11B7-4246-A51B-78C3E85B19A1}" name="Statistical Significance of the Difference (No difficulty vs At least a lot)" dataDxfId="1567"/>
  </tableColumns>
  <tableStyleInfo name="TableStyleMedium2" showFirstColumn="1" showLastColumn="0" showRowStripes="1" showColumnStripes="0"/>
</table>
</file>

<file path=xl/tables/table8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2" xr:uid="{88B64B85-A9F7-8A44-8CFB-EC30F3BD1E0A}" name="Table_E3.5.c_Share_of_urban_residents_who_have_completed_primary_school_Percentage_disaggregation_c" displayName="Table_E3.5.c_Share_of_urban_residents_who_have_completed_primary_school_Percentage_disaggregation_c" ref="P78:T94" totalsRowShown="0" headerRowDxfId="1566" dataDxfId="1565">
  <autoFilter ref="P78:T94" xr:uid="{88B64B85-A9F7-8A44-8CFB-EC30F3BD1E0A}"/>
  <tableColumns count="5">
    <tableColumn id="1" xr3:uid="{4479F700-3C32-FF4D-9441-8588A6939924}" name="Region" dataDxfId="1564"/>
    <tableColumn id="2" xr3:uid="{EDDB7267-C84A-3A4B-A7AF-30303A9AE407}" name="No or some difficulty" dataDxfId="1563"/>
    <tableColumn id="3" xr3:uid="{5F8CD34B-052E-3D47-93DC-C533985CF557}" name="At least a lot of difficulty" dataDxfId="1562"/>
    <tableColumn id="4" xr3:uid="{6FE7346B-EE11-4D4A-8F72-9F3657DD1BB0}" name="Difference" dataDxfId="1561"/>
    <tableColumn id="5" xr3:uid="{87F34A4A-B460-2C41-B7AD-E47E3164C11E}" name="Statistical Significance of the Difference" dataDxfId="1560"/>
  </tableColumns>
  <tableStyleInfo name="TableStyleMedium2" showFirstColumn="1" showLastColumn="0" showRowStripes="1" showColumnStripes="0"/>
</table>
</file>

<file path=xl/tables/table8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3" xr:uid="{14646331-D127-BC4A-AC28-511ABABFC13E}" name="Table_E3.6.a_Share_of_adults_age_15_to_44_who_have_completed_primary_school_Percentage_disaggregation_a" displayName="Table_E3.6.a_Share_of_adults_age_15_to_44_who_have_completed_primary_school_Percentage_disaggregation_a" ref="A97:E113" totalsRowShown="0" headerRowDxfId="1559" dataDxfId="1558">
  <autoFilter ref="A97:E113" xr:uid="{14646331-D127-BC4A-AC28-511ABABFC13E}"/>
  <tableColumns count="5">
    <tableColumn id="1" xr3:uid="{D42A623D-E85C-474C-BD67-32FCBFA52725}" name="Region" dataDxfId="1557"/>
    <tableColumn id="2" xr3:uid="{9AB02252-D3F9-9745-A1F1-D5E66BEB4A97}" name="No difficulty" dataDxfId="1556"/>
    <tableColumn id="3" xr3:uid="{EC4965F5-F600-0A4F-9B9F-A0611FB7A8B5}" name="Any difficulty" dataDxfId="1555"/>
    <tableColumn id="4" xr3:uid="{90C0132E-95AC-0748-A725-4EECB303BAE9}" name="Difference" dataDxfId="1554"/>
    <tableColumn id="5" xr3:uid="{19A68749-3DCE-DD43-A12A-C3157312AD90}" name="Statistical Significance of the Difference" dataDxfId="1553"/>
  </tableColumns>
  <tableStyleInfo name="TableStyleMedium2" showFirstColumn="1" showLastColumn="0" showRowStripes="1" showColumnStripes="0"/>
</table>
</file>

<file path=xl/tables/table8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4" xr:uid="{01403ECC-4220-8049-8595-FF5860A75BD3}" name="Table_E3.6.b_Share_of_adults_age_15_to_44_who_have_completed_primary_school_Percentage_disaggregation_b" displayName="Table_E3.6.b_Share_of_adults_age_15_to_44_who_have_completed_primary_school_Percentage_disaggregation_b" ref="G97:N113" totalsRowShown="0" headerRowDxfId="1552" dataDxfId="1551">
  <autoFilter ref="G97:N113" xr:uid="{01403ECC-4220-8049-8595-FF5860A75BD3}"/>
  <tableColumns count="8">
    <tableColumn id="1" xr3:uid="{ACE05C14-0378-D54B-8447-3FA32AB9D288}" name="Region" dataDxfId="1550"/>
    <tableColumn id="2" xr3:uid="{D96FC3E1-6A6A-9C43-8108-3CA159F47A04}" name="No difficulty" dataDxfId="1549"/>
    <tableColumn id="3" xr3:uid="{6AB39296-0D79-A542-8C9C-9E6094680C3A}" name="Some difficulty" dataDxfId="1548"/>
    <tableColumn id="4" xr3:uid="{5BB75EB3-4BA4-ED41-8A09-7F77CC519805}" name="Difference" dataDxfId="1547"/>
    <tableColumn id="5" xr3:uid="{9279B64F-0FEF-264F-9224-F14BC7375680}" name="Statistical Significance of the Difference" dataDxfId="1546"/>
    <tableColumn id="6" xr3:uid="{3F42C4EF-905E-AC45-91CC-6ACB7B0ADC38}" name="At least a lot of difficulty" dataDxfId="1545"/>
    <tableColumn id="7" xr3:uid="{52EAB88C-7706-C643-8FE3-BFC5C8C0C570}" name="Difference No difficulty &amp; At least a lot of difficulty" dataDxfId="1544"/>
    <tableColumn id="8" xr3:uid="{94ACA5A6-3ED4-5E4A-87D0-53FDEED920DE}" name="Statistical Significance of the Difference (No difficulty vs At least a lot)" dataDxfId="1543"/>
  </tableColumns>
  <tableStyleInfo name="TableStyleMedium2" showFirstColumn="1" showLastColumn="0" showRowStripes="1" showColumnStripes="0"/>
</table>
</file>

<file path=xl/tables/table8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5" xr:uid="{EFA09343-11F4-7045-8513-35BCF32DF1B1}" name="Table_E3.6.c_Share_of_adults_age_15_to_44_who_have_completed_primary_school_Percentage_disaggregation_c" displayName="Table_E3.6.c_Share_of_adults_age_15_to_44_who_have_completed_primary_school_Percentage_disaggregation_c" ref="P97:T113" totalsRowShown="0" headerRowDxfId="1542" dataDxfId="1541">
  <autoFilter ref="P97:T113" xr:uid="{EFA09343-11F4-7045-8513-35BCF32DF1B1}"/>
  <tableColumns count="5">
    <tableColumn id="1" xr3:uid="{35A4630C-6F3F-754B-B253-93C33915C3A8}" name="Region" dataDxfId="1540"/>
    <tableColumn id="2" xr3:uid="{E55BF757-FFA5-884C-BB3F-5FC9DB09D6C6}" name="No or some difficulty" dataDxfId="1539"/>
    <tableColumn id="3" xr3:uid="{682CB41F-63DC-E546-B8CF-ADB2F28CC39E}" name="At least a lot of difficulty" dataDxfId="1538"/>
    <tableColumn id="4" xr3:uid="{FCCFA04F-2972-AB4B-98CD-7BFC2E6DFF78}" name="Difference" dataDxfId="1537"/>
    <tableColumn id="5" xr3:uid="{07599DCF-9377-F443-B37E-AAFB60BED383}" name="Statistical Significance of the Difference" dataDxfId="1536"/>
  </tableColumns>
  <tableStyleInfo name="TableStyleMedium2" showFirstColumn="1" showLastColumn="0" showRowStripes="1" showColumnStripes="0"/>
</table>
</file>

<file path=xl/tables/table8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6" xr:uid="{FE1B1B0C-3CC8-CB40-8120-F937C0D00A4E}" name="Table_E3.7.a_Share_of_adults_age_45_and_older_who_have_completed_primary_school_Percentage_disaggregation_a" displayName="Table_E3.7.a_Share_of_adults_age_45_and_older_who_have_completed_primary_school_Percentage_disaggregation_a" ref="A116:E132" totalsRowShown="0" headerRowDxfId="1535" dataDxfId="1534">
  <autoFilter ref="A116:E132" xr:uid="{FE1B1B0C-3CC8-CB40-8120-F937C0D00A4E}"/>
  <tableColumns count="5">
    <tableColumn id="1" xr3:uid="{44A69D8C-C44F-8A44-B33A-A0C13E11A7CE}" name="Region" dataDxfId="1533"/>
    <tableColumn id="2" xr3:uid="{2663102E-6A52-E747-AF05-34FEF37C56BC}" name="No difficulty" dataDxfId="1532"/>
    <tableColumn id="3" xr3:uid="{0A3CE1D1-7D24-1141-A1F4-CDA79CEC3BCC}" name="Any difficulty" dataDxfId="1531"/>
    <tableColumn id="4" xr3:uid="{BE0884F6-3E62-D844-B29E-3A97151DFD57}" name="Difference" dataDxfId="1530"/>
    <tableColumn id="5" xr3:uid="{0BFF70CA-BF40-1842-B279-F2CCC7B3A795}" name="Statistical Significance of the Difference" dataDxfId="1529"/>
  </tableColumns>
  <tableStyleInfo name="TableStyleMedium2" showFirstColumn="1" showLastColumn="0" showRowStripes="1" showColumnStripes="0"/>
</table>
</file>

<file path=xl/tables/table8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7" xr:uid="{E8676D0C-7ECF-4241-966A-3FA7B7625BD7}" name="Table_E3.7.b_Share_of_adults_age_45_and_older_who_have_completed_primary_school_Percentage_disaggregation_b" displayName="Table_E3.7.b_Share_of_adults_age_45_and_older_who_have_completed_primary_school_Percentage_disaggregation_b" ref="G116:N132" totalsRowShown="0" headerRowDxfId="1528" dataDxfId="1527">
  <autoFilter ref="G116:N132" xr:uid="{E8676D0C-7ECF-4241-966A-3FA7B7625BD7}"/>
  <tableColumns count="8">
    <tableColumn id="1" xr3:uid="{2FB67315-DD03-4F46-ACFA-83EF9579AA7A}" name="Region" dataDxfId="1526"/>
    <tableColumn id="2" xr3:uid="{2C8073A6-D298-BB4C-9738-E53A01280C0B}" name="No difficulty" dataDxfId="1525"/>
    <tableColumn id="3" xr3:uid="{1BC0614F-719C-764A-B22C-534E3C570536}" name="Some difficulty" dataDxfId="1524"/>
    <tableColumn id="4" xr3:uid="{424DB5D6-73DB-4A4D-AFCA-B05BF41A9A5C}" name="Difference" dataDxfId="1523"/>
    <tableColumn id="5" xr3:uid="{589F1175-CDE1-8344-A643-D0426C84CF7E}" name="Statistical Significance of the Difference" dataDxfId="1522"/>
    <tableColumn id="6" xr3:uid="{D7CB399B-140C-194A-A521-EF2B90C4E0CA}" name="At least a lot of difficulty" dataDxfId="1521"/>
    <tableColumn id="7" xr3:uid="{E7522E18-9ABE-AD48-A40E-C5C4A31E9267}" name="Difference No difficulty &amp; At least a lot of difficulty" dataDxfId="1520"/>
    <tableColumn id="8" xr3:uid="{A3D4302F-A996-8341-9D2D-EE0E7B6CF8E1}" name="Statistical Significance of the Difference (No difficulty vs At least a lot)" dataDxfId="1519"/>
  </tableColumns>
  <tableStyleInfo name="TableStyleMedium2" showFirstColumn="1" showLastColumn="0" showRowStripes="1" showColumnStripes="0"/>
</table>
</file>

<file path=xl/tables/table8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8" xr:uid="{BACE49C9-0F57-7649-A883-AB4886A8B6F2}" name="Table_E3.7.c_Share_of_adults_age_45_and_older_who_have_completed_primary_school_Percentage_disaggregation_c" displayName="Table_E3.7.c_Share_of_adults_age_45_and_older_who_have_completed_primary_school_Percentage_disaggregation_c" ref="P116:T132" totalsRowShown="0" headerRowDxfId="1518" dataDxfId="1517">
  <autoFilter ref="P116:T132" xr:uid="{BACE49C9-0F57-7649-A883-AB4886A8B6F2}"/>
  <tableColumns count="5">
    <tableColumn id="1" xr3:uid="{0D43A2CE-1487-A246-A27D-7D3F9C8C948F}" name="Region" dataDxfId="1516"/>
    <tableColumn id="2" xr3:uid="{F7AFF999-536A-6948-96E5-43F661F15A02}" name="No or some difficulty" dataDxfId="1515"/>
    <tableColumn id="3" xr3:uid="{D3F95B8A-3405-184D-9724-6CF2E88242F5}" name="At least a lot of difficulty" dataDxfId="1514"/>
    <tableColumn id="4" xr3:uid="{2C88DA23-0261-8C41-8E16-7FA831519DE3}" name="Difference" dataDxfId="1513"/>
    <tableColumn id="5" xr3:uid="{AED3690D-F92B-F148-BE65-1D961A8B8EB6}" name="Statistical Significance of the Difference" dataDxfId="1512"/>
  </tableColumns>
  <tableStyleInfo name="TableStyleMedium2"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E9F7F55-0FB9-AB40-8AFB-A2C269A9125C}" name="Table_P2.1_Share_of_all_adults_with_any_functional_difficulty_by_type_of_functional_difficulty_Percentage" displayName="Table_P2.1_Share_of_all_adults_with_any_functional_difficulty_by_type_of_functional_difficulty_Percentage" ref="A2:G18" totalsRowShown="0" headerRowDxfId="2180" dataDxfId="2179">
  <autoFilter ref="A2:G18" xr:uid="{0E9F7F55-0FB9-AB40-8AFB-A2C269A9125C}"/>
  <tableColumns count="7">
    <tableColumn id="1" xr3:uid="{CC5523F9-7B58-7843-BF42-8C7F5B5409A2}" name="Region" dataDxfId="2178"/>
    <tableColumn id="2" xr3:uid="{DEFDD93F-AC17-E94F-BB88-20ED07D6AAFD}" name="Seeing" dataDxfId="2177"/>
    <tableColumn id="3" xr3:uid="{DABEA4FA-246B-6E4F-9C43-C377EB7C382F}" name="Hearing" dataDxfId="2176"/>
    <tableColumn id="4" xr3:uid="{3B5B1EB9-7515-5840-8F7F-3514AD67F4BB}" name="Mobility" dataDxfId="2175"/>
    <tableColumn id="5" xr3:uid="{F93F3556-7462-CD4B-A600-02F0998A185A}" name="Cognition" dataDxfId="2174"/>
    <tableColumn id="6" xr3:uid="{34F15BC3-E673-794B-9555-599E851FB4AE}" name="Self-Care" dataDxfId="2173"/>
    <tableColumn id="7" xr3:uid="{6ED1CE86-0135-2043-869A-4749A0B6880F}" name="Communication" dataDxfId="2172"/>
  </tableColumns>
  <tableStyleInfo name="TableStyleMedium2" showFirstColumn="1" showLastColumn="0" showRowStripes="1" showColumnStripes="0"/>
</table>
</file>

<file path=xl/tables/table9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9" xr:uid="{0D66FC7F-ABAA-8446-B1C3-673F37B7F14E}" name="Table_E4.1.a_Share_of_all_adults_who_have_completed_secondary_school_or_higher_Percentage_disaggregation_a" displayName="Table_E4.1.a_Share_of_all_adults_who_have_completed_secondary_school_or_higher_Percentage_disaggregation_a" ref="A2:E18" totalsRowShown="0" headerRowDxfId="1511" dataDxfId="1510">
  <autoFilter ref="A2:E18" xr:uid="{0D66FC7F-ABAA-8446-B1C3-673F37B7F14E}"/>
  <tableColumns count="5">
    <tableColumn id="1" xr3:uid="{24DE2EDF-F901-884D-887E-9AC13490F824}" name="Region" dataDxfId="1509"/>
    <tableColumn id="2" xr3:uid="{4FEAEC76-D4C8-F440-8A11-B79C987CF0CD}" name="No difficulty" dataDxfId="1508"/>
    <tableColumn id="3" xr3:uid="{B2E4AA59-9374-7E43-9BC1-D88513DCD933}" name="Any difficulty" dataDxfId="1507"/>
    <tableColumn id="4" xr3:uid="{9CEDEE70-3D49-DB47-A6F8-AB57F54512B1}" name="Difference" dataDxfId="1506"/>
    <tableColumn id="5" xr3:uid="{1B913624-DB19-6146-A026-609CFD59DAD5}" name="Statistical Significance of the Difference" dataDxfId="1505"/>
  </tableColumns>
  <tableStyleInfo name="TableStyleMedium2" showFirstColumn="1" showLastColumn="0" showRowStripes="1" showColumnStripes="0"/>
</table>
</file>

<file path=xl/tables/table9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0" xr:uid="{A7F7A243-6798-1E44-98FC-C6AB103380D6}" name="Table_E4.1.b_Share_of_all_adults_who_have_completed_secondary_school_or_higher_Percentage_disaggregation_b" displayName="Table_E4.1.b_Share_of_all_adults_who_have_completed_secondary_school_or_higher_Percentage_disaggregation_b" ref="G2:N18" totalsRowShown="0" headerRowDxfId="1504" dataDxfId="1503">
  <autoFilter ref="G2:N18" xr:uid="{A7F7A243-6798-1E44-98FC-C6AB103380D6}"/>
  <tableColumns count="8">
    <tableColumn id="1" xr3:uid="{43EE7DC1-2E0E-9B4D-B72E-1E9FD26E32C0}" name="Region" dataDxfId="1502"/>
    <tableColumn id="2" xr3:uid="{4063FA33-6C8E-8B46-900F-AACFE19F2B1F}" name="No difficulty" dataDxfId="1501"/>
    <tableColumn id="3" xr3:uid="{7353BF35-8ADC-2040-B347-77B5137511D5}" name="Some difficulty" dataDxfId="1500"/>
    <tableColumn id="4" xr3:uid="{5D459AF6-BF36-D349-8871-5F7F034E36B6}" name="Difference" dataDxfId="1499"/>
    <tableColumn id="5" xr3:uid="{50638B56-FF76-094D-9DC9-09154A74AD74}" name="Statistical Significance of the Difference" dataDxfId="1498"/>
    <tableColumn id="6" xr3:uid="{4320F97C-68C8-7E49-A907-78F5CD5B7646}" name="At least a lot of difficulty" dataDxfId="1497"/>
    <tableColumn id="7" xr3:uid="{03D1BE07-3E58-DD43-A79A-C7303A80583A}" name="Difference No difficulty &amp; At least a lot of difficulty" dataDxfId="1496"/>
    <tableColumn id="8" xr3:uid="{2C365263-078C-BD4B-B690-4A472BF71315}" name="Statistical Significance of the Difference (No difficulty vs At least a lot)" dataDxfId="1495"/>
  </tableColumns>
  <tableStyleInfo name="TableStyleMedium2" showFirstColumn="1" showLastColumn="0" showRowStripes="1" showColumnStripes="0"/>
</table>
</file>

<file path=xl/tables/table9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1" xr:uid="{AE8D223E-0B61-394C-8DAB-419EC9C6ECE1}" name="Table_E4.1.c_Share_of_all_adults_who_have_completed_secondary_school_or_higher_Percentage_disaggregation_c" displayName="Table_E4.1.c_Share_of_all_adults_who_have_completed_secondary_school_or_higher_Percentage_disaggregation_c" ref="P2:T18" totalsRowShown="0" headerRowDxfId="1494" dataDxfId="1493">
  <autoFilter ref="P2:T18" xr:uid="{AE8D223E-0B61-394C-8DAB-419EC9C6ECE1}"/>
  <tableColumns count="5">
    <tableColumn id="1" xr3:uid="{FE5695A1-5586-A24A-A0DA-3E8F933053F2}" name="Region" dataDxfId="1492"/>
    <tableColumn id="2" xr3:uid="{F5102D83-2450-0947-93C4-D38BB3E924E3}" name="No or some difficulty" dataDxfId="1491"/>
    <tableColumn id="3" xr3:uid="{31ACA700-378D-864C-8CEE-2906F5843EB2}" name="At least a lot of difficulty" dataDxfId="1490"/>
    <tableColumn id="4" xr3:uid="{04946076-54BE-DF4D-A799-18AD203AB542}" name="Difference" dataDxfId="1489"/>
    <tableColumn id="5" xr3:uid="{C96F30DA-3B1B-2D41-80B0-751E5D98FAEE}" name="Statistical Significance of the Difference" dataDxfId="1488"/>
  </tableColumns>
  <tableStyleInfo name="TableStyleMedium2" showFirstColumn="1" showLastColumn="0" showRowStripes="1" showColumnStripes="0"/>
</table>
</file>

<file path=xl/tables/table9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2" xr:uid="{71D2EE8F-155E-BB4A-A95A-93BC3F7CAB6F}" name="Table_E4.2.a_Share_of_females_who_have_completed_secondary_school_or_higher_Percentage_disaggregation_a" displayName="Table_E4.2.a_Share_of_females_who_have_completed_secondary_school_or_higher_Percentage_disaggregation_a" ref="A21:E37" totalsRowShown="0" headerRowDxfId="1487" dataDxfId="1486">
  <autoFilter ref="A21:E37" xr:uid="{71D2EE8F-155E-BB4A-A95A-93BC3F7CAB6F}"/>
  <tableColumns count="5">
    <tableColumn id="1" xr3:uid="{0935706B-4AC0-974B-B8F7-8AB058FD6ECA}" name="Region" dataDxfId="1485"/>
    <tableColumn id="2" xr3:uid="{60C65C52-6BA0-424F-B112-49861B634397}" name="No difficulty" dataDxfId="1484"/>
    <tableColumn id="3" xr3:uid="{30102CA8-8706-7146-954C-D2BEF747F91F}" name="Any difficulty" dataDxfId="1483"/>
    <tableColumn id="4" xr3:uid="{9B70DED3-CC2F-084C-BD4A-539FC036C169}" name="Difference" dataDxfId="1482"/>
    <tableColumn id="5" xr3:uid="{9855F32B-9AEE-8246-85B5-B59D3F4DA767}" name="Statistical Significance of the Difference" dataDxfId="1481"/>
  </tableColumns>
  <tableStyleInfo name="TableStyleMedium2" showFirstColumn="1" showLastColumn="0" showRowStripes="1" showColumnStripes="0"/>
</table>
</file>

<file path=xl/tables/table9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3" xr:uid="{E9297316-B438-4E48-92E3-F3170512B59C}" name="Table_E4.2.b_Share_of_females_who_have_completed_secondary_school_or_higher_Percentage_disaggregation_b" displayName="Table_E4.2.b_Share_of_females_who_have_completed_secondary_school_or_higher_Percentage_disaggregation_b" ref="G21:N37" totalsRowShown="0" headerRowDxfId="1480" dataDxfId="1479">
  <autoFilter ref="G21:N37" xr:uid="{E9297316-B438-4E48-92E3-F3170512B59C}"/>
  <tableColumns count="8">
    <tableColumn id="1" xr3:uid="{B729787E-4DC3-2943-B9FB-8E46BF1F6BC6}" name="Region" dataDxfId="1478"/>
    <tableColumn id="2" xr3:uid="{497AB275-A157-044C-A5FF-87CC3E263D5D}" name="No difficulty" dataDxfId="1477"/>
    <tableColumn id="3" xr3:uid="{F7F68AFE-6AF1-A140-B5F0-2B08739B32C0}" name="Some difficulty" dataDxfId="1476"/>
    <tableColumn id="4" xr3:uid="{9357B383-7915-954B-A695-E51B9C628576}" name="Difference" dataDxfId="1475"/>
    <tableColumn id="5" xr3:uid="{5F053374-964E-C04F-BE11-691ED1B239FA}" name="Statistical Significance of the Difference" dataDxfId="1474"/>
    <tableColumn id="6" xr3:uid="{9D053875-4061-864A-9348-1B551B376DB6}" name="At least a lot of difficulty" dataDxfId="1473"/>
    <tableColumn id="7" xr3:uid="{1C4F6841-276B-B249-A587-78D7517F09F9}" name="Difference No difficulty &amp; At least a lot of difficulty" dataDxfId="1472"/>
    <tableColumn id="8" xr3:uid="{65543F1A-613C-AB48-9596-788F23D37750}" name="Statistical Significance of the Difference (No difficulty vs At least a lot)" dataDxfId="1471"/>
  </tableColumns>
  <tableStyleInfo name="TableStyleMedium2" showFirstColumn="1" showLastColumn="0" showRowStripes="1" showColumnStripes="0"/>
</table>
</file>

<file path=xl/tables/table9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4" xr:uid="{4EF8F0CA-BB69-A341-A301-B9908BC1CC3C}" name="Table_E4.2.c_Share_of_females_who_have_completed_secondary_school_or_higher_Percentage_disaggregation_c" displayName="Table_E4.2.c_Share_of_females_who_have_completed_secondary_school_or_higher_Percentage_disaggregation_c" ref="P21:T37" totalsRowShown="0" headerRowDxfId="1470" dataDxfId="1469">
  <autoFilter ref="P21:T37" xr:uid="{4EF8F0CA-BB69-A341-A301-B9908BC1CC3C}"/>
  <tableColumns count="5">
    <tableColumn id="1" xr3:uid="{476EDF0C-5D03-BC46-95FA-1056B41A5076}" name="Region" dataDxfId="1468"/>
    <tableColumn id="2" xr3:uid="{4890FA87-1115-BA4C-BC3E-5F0E5099372F}" name="No or some difficulty" dataDxfId="1467"/>
    <tableColumn id="3" xr3:uid="{30BBBB69-47A6-0F44-899E-AF798E3F7DFE}" name="At least a lot of difficulty" dataDxfId="1466"/>
    <tableColumn id="4" xr3:uid="{E618DC5C-8BC8-B34D-BF0E-5BCC47BDCEA3}" name="Difference" dataDxfId="1465"/>
    <tableColumn id="5" xr3:uid="{900C1D76-9CEE-7E45-9C60-E0801718D6AF}" name="Statistical Significance of the Difference" dataDxfId="1464"/>
  </tableColumns>
  <tableStyleInfo name="TableStyleMedium2" showFirstColumn="1" showLastColumn="0" showRowStripes="1" showColumnStripes="0"/>
</table>
</file>

<file path=xl/tables/table9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5" xr:uid="{1D979D77-7038-6146-A24D-2DFD65DC13DB}" name="Table_E4.3.a_Share_of_males_who_have_completed_secondary_school_or_higher_Percentage_disaggregation_a" displayName="Table_E4.3.a_Share_of_males_who_have_completed_secondary_school_or_higher_Percentage_disaggregation_a" ref="A40:E56" totalsRowShown="0" headerRowDxfId="1463" dataDxfId="1462">
  <autoFilter ref="A40:E56" xr:uid="{1D979D77-7038-6146-A24D-2DFD65DC13DB}"/>
  <tableColumns count="5">
    <tableColumn id="1" xr3:uid="{E51235D7-E529-A044-AC0E-08E6B4260819}" name="Region" dataDxfId="1461"/>
    <tableColumn id="2" xr3:uid="{29710527-63AA-5343-8892-4F3153504FE5}" name="No difficulty" dataDxfId="1460"/>
    <tableColumn id="3" xr3:uid="{CBF925AB-0870-8B42-AAE4-E5BCEF9FF712}" name="Any difficulty" dataDxfId="1459"/>
    <tableColumn id="4" xr3:uid="{B4A59342-D156-1448-A2FF-392FF1F5FE6E}" name="Difference" dataDxfId="1458"/>
    <tableColumn id="5" xr3:uid="{2EE5AA2F-39CC-8B42-948D-9955AA4F6F38}" name="Statistical Significance of the Difference" dataDxfId="1457"/>
  </tableColumns>
  <tableStyleInfo name="TableStyleMedium2" showFirstColumn="1" showLastColumn="0" showRowStripes="1" showColumnStripes="0"/>
</table>
</file>

<file path=xl/tables/table9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6" xr:uid="{7FEF7750-09B2-D642-874C-4D3A3CF458F0}" name="Table_E4.3.b_Share_of_males_who_have_completed_secondary_school_or_higher_Percentage_disaggregation_b" displayName="Table_E4.3.b_Share_of_males_who_have_completed_secondary_school_or_higher_Percentage_disaggregation_b" ref="G40:N56" totalsRowShown="0" headerRowDxfId="1456" dataDxfId="1455">
  <autoFilter ref="G40:N56" xr:uid="{7FEF7750-09B2-D642-874C-4D3A3CF458F0}"/>
  <tableColumns count="8">
    <tableColumn id="1" xr3:uid="{EF32DDD6-64F2-1743-8184-7100790EE890}" name="Region" dataDxfId="1454"/>
    <tableColumn id="2" xr3:uid="{135C0B01-9588-064B-89FF-3CD22C98A7E1}" name="No difficulty" dataDxfId="1453"/>
    <tableColumn id="3" xr3:uid="{544FD6BB-C108-BA49-B78F-3E808208AD0D}" name="Some difficulty" dataDxfId="1452"/>
    <tableColumn id="4" xr3:uid="{D7E2D183-3E5A-8B47-BA99-425B54C46A05}" name="Difference" dataDxfId="1451"/>
    <tableColumn id="5" xr3:uid="{498256DF-9324-AB43-9518-25F5AC5A6194}" name="Statistical Significance of the Difference" dataDxfId="1450"/>
    <tableColumn id="6" xr3:uid="{201C73BB-A9BC-4B4C-8A6B-518F5D7FA783}" name="At least a lot of difficulty" dataDxfId="1449"/>
    <tableColumn id="7" xr3:uid="{3B0F1833-3B86-7947-824D-D439D95797AB}" name="Difference No difficulty &amp; At least a lot of difficulty" dataDxfId="1448"/>
    <tableColumn id="8" xr3:uid="{83725166-A008-0541-99E1-C84F5F302CDB}" name="Statistical Significance of the Difference (No difficulty vs At least a lot)" dataDxfId="1447"/>
  </tableColumns>
  <tableStyleInfo name="TableStyleMedium2" showFirstColumn="1" showLastColumn="0" showRowStripes="1" showColumnStripes="0"/>
</table>
</file>

<file path=xl/tables/table9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7" xr:uid="{483A6D6D-7DB5-AE47-804E-653C97E27CD8}" name="Table_E4.3.c_Share_of_males_who_have_completed_secondary_school_or_higher_Percentage_disaggregation_c" displayName="Table_E4.3.c_Share_of_males_who_have_completed_secondary_school_or_higher_Percentage_disaggregation_c" ref="P40:T56" totalsRowShown="0" headerRowDxfId="1446" dataDxfId="1445">
  <autoFilter ref="P40:T56" xr:uid="{483A6D6D-7DB5-AE47-804E-653C97E27CD8}"/>
  <tableColumns count="5">
    <tableColumn id="1" xr3:uid="{6ABC421B-E5C4-F043-97A4-2A55E1012936}" name="Region" dataDxfId="1444"/>
    <tableColumn id="2" xr3:uid="{B7483A1A-7722-0843-9B7C-0E98782D9732}" name="No or some difficulty" dataDxfId="1443"/>
    <tableColumn id="3" xr3:uid="{9F8D7361-ADE4-C245-8274-9EA3FEF102CF}" name="At least a lot of difficulty" dataDxfId="1442"/>
    <tableColumn id="4" xr3:uid="{6004AB06-F380-C241-BE77-CB52B3760D89}" name="Difference" dataDxfId="1441"/>
    <tableColumn id="5" xr3:uid="{31CCAC0A-A2BC-2A44-AC9A-2BD5D6F3275F}" name="Statistical Significance of the Difference" dataDxfId="1440"/>
  </tableColumns>
  <tableStyleInfo name="TableStyleMedium2" showFirstColumn="1" showLastColumn="0" showRowStripes="1" showColumnStripes="0"/>
</table>
</file>

<file path=xl/tables/table9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8" xr:uid="{311FE0CA-BEE7-494E-9414-A3C0A17C8539}" name="Table_E4.4.a_Share_of_rural_residents_who_have_completed_secondary_school_or_higher_Percentage_disaggregation_a" displayName="Table_E4.4.a_Share_of_rural_residents_who_have_completed_secondary_school_or_higher_Percentage_disaggregation_a" ref="A59:E75" totalsRowShown="0" headerRowDxfId="1439" dataDxfId="1438">
  <autoFilter ref="A59:E75" xr:uid="{311FE0CA-BEE7-494E-9414-A3C0A17C8539}"/>
  <tableColumns count="5">
    <tableColumn id="1" xr3:uid="{C77F9442-DD7C-D647-AF02-0503813C60F2}" name="Region" dataDxfId="1437"/>
    <tableColumn id="2" xr3:uid="{8EC32318-B11A-4649-9B4E-52517F4726C8}" name="No difficulty" dataDxfId="1436"/>
    <tableColumn id="3" xr3:uid="{7E2C6EC7-B179-BF46-A9A2-E794BBBC261C}" name="Any difficulty" dataDxfId="1435"/>
    <tableColumn id="4" xr3:uid="{E3839A66-B496-8745-B9F7-46D1814787BB}" name="Difference" dataDxfId="1434"/>
    <tableColumn id="5" xr3:uid="{7DDF4F7E-EEF6-BF40-AE60-F0EB350DA2D2}" name="Statistical Significance of the Difference" dataDxfId="1433"/>
  </tableColumns>
  <tableStyleInfo name="TableStyleMedium2" showFirstColumn="1"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8" Type="http://schemas.openxmlformats.org/officeDocument/2006/relationships/table" Target="../tables/table118.xml"/><Relationship Id="rId13" Type="http://schemas.openxmlformats.org/officeDocument/2006/relationships/table" Target="../tables/table123.xml"/><Relationship Id="rId18" Type="http://schemas.openxmlformats.org/officeDocument/2006/relationships/table" Target="../tables/table128.xml"/><Relationship Id="rId3" Type="http://schemas.openxmlformats.org/officeDocument/2006/relationships/table" Target="../tables/table113.xml"/><Relationship Id="rId21" Type="http://schemas.openxmlformats.org/officeDocument/2006/relationships/table" Target="../tables/table131.xml"/><Relationship Id="rId7" Type="http://schemas.openxmlformats.org/officeDocument/2006/relationships/table" Target="../tables/table117.xml"/><Relationship Id="rId12" Type="http://schemas.openxmlformats.org/officeDocument/2006/relationships/table" Target="../tables/table122.xml"/><Relationship Id="rId17" Type="http://schemas.openxmlformats.org/officeDocument/2006/relationships/table" Target="../tables/table127.xml"/><Relationship Id="rId2" Type="http://schemas.openxmlformats.org/officeDocument/2006/relationships/table" Target="../tables/table112.xml"/><Relationship Id="rId16" Type="http://schemas.openxmlformats.org/officeDocument/2006/relationships/table" Target="../tables/table126.xml"/><Relationship Id="rId20" Type="http://schemas.openxmlformats.org/officeDocument/2006/relationships/table" Target="../tables/table130.xml"/><Relationship Id="rId1" Type="http://schemas.openxmlformats.org/officeDocument/2006/relationships/table" Target="../tables/table111.xml"/><Relationship Id="rId6" Type="http://schemas.openxmlformats.org/officeDocument/2006/relationships/table" Target="../tables/table116.xml"/><Relationship Id="rId11" Type="http://schemas.openxmlformats.org/officeDocument/2006/relationships/table" Target="../tables/table121.xml"/><Relationship Id="rId5" Type="http://schemas.openxmlformats.org/officeDocument/2006/relationships/table" Target="../tables/table115.xml"/><Relationship Id="rId15" Type="http://schemas.openxmlformats.org/officeDocument/2006/relationships/table" Target="../tables/table125.xml"/><Relationship Id="rId10" Type="http://schemas.openxmlformats.org/officeDocument/2006/relationships/table" Target="../tables/table120.xml"/><Relationship Id="rId19" Type="http://schemas.openxmlformats.org/officeDocument/2006/relationships/table" Target="../tables/table129.xml"/><Relationship Id="rId4" Type="http://schemas.openxmlformats.org/officeDocument/2006/relationships/table" Target="../tables/table114.xml"/><Relationship Id="rId9" Type="http://schemas.openxmlformats.org/officeDocument/2006/relationships/table" Target="../tables/table119.xml"/><Relationship Id="rId14" Type="http://schemas.openxmlformats.org/officeDocument/2006/relationships/table" Target="../tables/table124.xml"/></Relationships>
</file>

<file path=xl/worksheets/_rels/sheet11.xml.rels><?xml version="1.0" encoding="UTF-8" standalone="yes"?>
<Relationships xmlns="http://schemas.openxmlformats.org/package/2006/relationships"><Relationship Id="rId8" Type="http://schemas.openxmlformats.org/officeDocument/2006/relationships/table" Target="../tables/table139.xml"/><Relationship Id="rId13" Type="http://schemas.openxmlformats.org/officeDocument/2006/relationships/table" Target="../tables/table144.xml"/><Relationship Id="rId18" Type="http://schemas.openxmlformats.org/officeDocument/2006/relationships/table" Target="../tables/table149.xml"/><Relationship Id="rId3" Type="http://schemas.openxmlformats.org/officeDocument/2006/relationships/table" Target="../tables/table134.xml"/><Relationship Id="rId21" Type="http://schemas.openxmlformats.org/officeDocument/2006/relationships/table" Target="../tables/table152.xml"/><Relationship Id="rId7" Type="http://schemas.openxmlformats.org/officeDocument/2006/relationships/table" Target="../tables/table138.xml"/><Relationship Id="rId12" Type="http://schemas.openxmlformats.org/officeDocument/2006/relationships/table" Target="../tables/table143.xml"/><Relationship Id="rId17" Type="http://schemas.openxmlformats.org/officeDocument/2006/relationships/table" Target="../tables/table148.xml"/><Relationship Id="rId2" Type="http://schemas.openxmlformats.org/officeDocument/2006/relationships/table" Target="../tables/table133.xml"/><Relationship Id="rId16" Type="http://schemas.openxmlformats.org/officeDocument/2006/relationships/table" Target="../tables/table147.xml"/><Relationship Id="rId20" Type="http://schemas.openxmlformats.org/officeDocument/2006/relationships/table" Target="../tables/table151.xml"/><Relationship Id="rId1" Type="http://schemas.openxmlformats.org/officeDocument/2006/relationships/table" Target="../tables/table132.xml"/><Relationship Id="rId6" Type="http://schemas.openxmlformats.org/officeDocument/2006/relationships/table" Target="../tables/table137.xml"/><Relationship Id="rId11" Type="http://schemas.openxmlformats.org/officeDocument/2006/relationships/table" Target="../tables/table142.xml"/><Relationship Id="rId5" Type="http://schemas.openxmlformats.org/officeDocument/2006/relationships/table" Target="../tables/table136.xml"/><Relationship Id="rId15" Type="http://schemas.openxmlformats.org/officeDocument/2006/relationships/table" Target="../tables/table146.xml"/><Relationship Id="rId10" Type="http://schemas.openxmlformats.org/officeDocument/2006/relationships/table" Target="../tables/table141.xml"/><Relationship Id="rId19" Type="http://schemas.openxmlformats.org/officeDocument/2006/relationships/table" Target="../tables/table150.xml"/><Relationship Id="rId4" Type="http://schemas.openxmlformats.org/officeDocument/2006/relationships/table" Target="../tables/table135.xml"/><Relationship Id="rId9" Type="http://schemas.openxmlformats.org/officeDocument/2006/relationships/table" Target="../tables/table140.xml"/><Relationship Id="rId14" Type="http://schemas.openxmlformats.org/officeDocument/2006/relationships/table" Target="../tables/table145.xml"/></Relationships>
</file>

<file path=xl/worksheets/_rels/sheet12.xml.rels><?xml version="1.0" encoding="UTF-8" standalone="yes"?>
<Relationships xmlns="http://schemas.openxmlformats.org/package/2006/relationships"><Relationship Id="rId8" Type="http://schemas.openxmlformats.org/officeDocument/2006/relationships/table" Target="../tables/table160.xml"/><Relationship Id="rId13" Type="http://schemas.openxmlformats.org/officeDocument/2006/relationships/table" Target="../tables/table165.xml"/><Relationship Id="rId18" Type="http://schemas.openxmlformats.org/officeDocument/2006/relationships/table" Target="../tables/table170.xml"/><Relationship Id="rId3" Type="http://schemas.openxmlformats.org/officeDocument/2006/relationships/table" Target="../tables/table155.xml"/><Relationship Id="rId21" Type="http://schemas.openxmlformats.org/officeDocument/2006/relationships/table" Target="../tables/table173.xml"/><Relationship Id="rId7" Type="http://schemas.openxmlformats.org/officeDocument/2006/relationships/table" Target="../tables/table159.xml"/><Relationship Id="rId12" Type="http://schemas.openxmlformats.org/officeDocument/2006/relationships/table" Target="../tables/table164.xml"/><Relationship Id="rId17" Type="http://schemas.openxmlformats.org/officeDocument/2006/relationships/table" Target="../tables/table169.xml"/><Relationship Id="rId2" Type="http://schemas.openxmlformats.org/officeDocument/2006/relationships/table" Target="../tables/table154.xml"/><Relationship Id="rId16" Type="http://schemas.openxmlformats.org/officeDocument/2006/relationships/table" Target="../tables/table168.xml"/><Relationship Id="rId20" Type="http://schemas.openxmlformats.org/officeDocument/2006/relationships/table" Target="../tables/table172.xml"/><Relationship Id="rId1" Type="http://schemas.openxmlformats.org/officeDocument/2006/relationships/table" Target="../tables/table153.xml"/><Relationship Id="rId6" Type="http://schemas.openxmlformats.org/officeDocument/2006/relationships/table" Target="../tables/table158.xml"/><Relationship Id="rId11" Type="http://schemas.openxmlformats.org/officeDocument/2006/relationships/table" Target="../tables/table163.xml"/><Relationship Id="rId5" Type="http://schemas.openxmlformats.org/officeDocument/2006/relationships/table" Target="../tables/table157.xml"/><Relationship Id="rId15" Type="http://schemas.openxmlformats.org/officeDocument/2006/relationships/table" Target="../tables/table167.xml"/><Relationship Id="rId10" Type="http://schemas.openxmlformats.org/officeDocument/2006/relationships/table" Target="../tables/table162.xml"/><Relationship Id="rId19" Type="http://schemas.openxmlformats.org/officeDocument/2006/relationships/table" Target="../tables/table171.xml"/><Relationship Id="rId4" Type="http://schemas.openxmlformats.org/officeDocument/2006/relationships/table" Target="../tables/table156.xml"/><Relationship Id="rId9" Type="http://schemas.openxmlformats.org/officeDocument/2006/relationships/table" Target="../tables/table161.xml"/><Relationship Id="rId14" Type="http://schemas.openxmlformats.org/officeDocument/2006/relationships/table" Target="../tables/table166.xml"/></Relationships>
</file>

<file path=xl/worksheets/_rels/sheet13.xml.rels><?xml version="1.0" encoding="UTF-8" standalone="yes"?>
<Relationships xmlns="http://schemas.openxmlformats.org/package/2006/relationships"><Relationship Id="rId8" Type="http://schemas.openxmlformats.org/officeDocument/2006/relationships/table" Target="../tables/table181.xml"/><Relationship Id="rId13" Type="http://schemas.openxmlformats.org/officeDocument/2006/relationships/table" Target="../tables/table186.xml"/><Relationship Id="rId18" Type="http://schemas.openxmlformats.org/officeDocument/2006/relationships/table" Target="../tables/table191.xml"/><Relationship Id="rId3" Type="http://schemas.openxmlformats.org/officeDocument/2006/relationships/table" Target="../tables/table176.xml"/><Relationship Id="rId21" Type="http://schemas.openxmlformats.org/officeDocument/2006/relationships/table" Target="../tables/table194.xml"/><Relationship Id="rId7" Type="http://schemas.openxmlformats.org/officeDocument/2006/relationships/table" Target="../tables/table180.xml"/><Relationship Id="rId12" Type="http://schemas.openxmlformats.org/officeDocument/2006/relationships/table" Target="../tables/table185.xml"/><Relationship Id="rId17" Type="http://schemas.openxmlformats.org/officeDocument/2006/relationships/table" Target="../tables/table190.xml"/><Relationship Id="rId2" Type="http://schemas.openxmlformats.org/officeDocument/2006/relationships/table" Target="../tables/table175.xml"/><Relationship Id="rId16" Type="http://schemas.openxmlformats.org/officeDocument/2006/relationships/table" Target="../tables/table189.xml"/><Relationship Id="rId20" Type="http://schemas.openxmlformats.org/officeDocument/2006/relationships/table" Target="../tables/table193.xml"/><Relationship Id="rId1" Type="http://schemas.openxmlformats.org/officeDocument/2006/relationships/table" Target="../tables/table174.xml"/><Relationship Id="rId6" Type="http://schemas.openxmlformats.org/officeDocument/2006/relationships/table" Target="../tables/table179.xml"/><Relationship Id="rId11" Type="http://schemas.openxmlformats.org/officeDocument/2006/relationships/table" Target="../tables/table184.xml"/><Relationship Id="rId5" Type="http://schemas.openxmlformats.org/officeDocument/2006/relationships/table" Target="../tables/table178.xml"/><Relationship Id="rId15" Type="http://schemas.openxmlformats.org/officeDocument/2006/relationships/table" Target="../tables/table188.xml"/><Relationship Id="rId10" Type="http://schemas.openxmlformats.org/officeDocument/2006/relationships/table" Target="../tables/table183.xml"/><Relationship Id="rId19" Type="http://schemas.openxmlformats.org/officeDocument/2006/relationships/table" Target="../tables/table192.xml"/><Relationship Id="rId4" Type="http://schemas.openxmlformats.org/officeDocument/2006/relationships/table" Target="../tables/table177.xml"/><Relationship Id="rId9" Type="http://schemas.openxmlformats.org/officeDocument/2006/relationships/table" Target="../tables/table182.xml"/><Relationship Id="rId14" Type="http://schemas.openxmlformats.org/officeDocument/2006/relationships/table" Target="../tables/table187.xml"/></Relationships>
</file>

<file path=xl/worksheets/_rels/sheet14.xml.rels><?xml version="1.0" encoding="UTF-8" standalone="yes"?>
<Relationships xmlns="http://schemas.openxmlformats.org/package/2006/relationships"><Relationship Id="rId8" Type="http://schemas.openxmlformats.org/officeDocument/2006/relationships/table" Target="../tables/table202.xml"/><Relationship Id="rId13" Type="http://schemas.openxmlformats.org/officeDocument/2006/relationships/table" Target="../tables/table207.xml"/><Relationship Id="rId18" Type="http://schemas.openxmlformats.org/officeDocument/2006/relationships/table" Target="../tables/table212.xml"/><Relationship Id="rId3" Type="http://schemas.openxmlformats.org/officeDocument/2006/relationships/table" Target="../tables/table197.xml"/><Relationship Id="rId21" Type="http://schemas.openxmlformats.org/officeDocument/2006/relationships/table" Target="../tables/table215.xml"/><Relationship Id="rId7" Type="http://schemas.openxmlformats.org/officeDocument/2006/relationships/table" Target="../tables/table201.xml"/><Relationship Id="rId12" Type="http://schemas.openxmlformats.org/officeDocument/2006/relationships/table" Target="../tables/table206.xml"/><Relationship Id="rId17" Type="http://schemas.openxmlformats.org/officeDocument/2006/relationships/table" Target="../tables/table211.xml"/><Relationship Id="rId2" Type="http://schemas.openxmlformats.org/officeDocument/2006/relationships/table" Target="../tables/table196.xml"/><Relationship Id="rId16" Type="http://schemas.openxmlformats.org/officeDocument/2006/relationships/table" Target="../tables/table210.xml"/><Relationship Id="rId20" Type="http://schemas.openxmlformats.org/officeDocument/2006/relationships/table" Target="../tables/table214.xml"/><Relationship Id="rId1" Type="http://schemas.openxmlformats.org/officeDocument/2006/relationships/table" Target="../tables/table195.xml"/><Relationship Id="rId6" Type="http://schemas.openxmlformats.org/officeDocument/2006/relationships/table" Target="../tables/table200.xml"/><Relationship Id="rId11" Type="http://schemas.openxmlformats.org/officeDocument/2006/relationships/table" Target="../tables/table205.xml"/><Relationship Id="rId5" Type="http://schemas.openxmlformats.org/officeDocument/2006/relationships/table" Target="../tables/table199.xml"/><Relationship Id="rId15" Type="http://schemas.openxmlformats.org/officeDocument/2006/relationships/table" Target="../tables/table209.xml"/><Relationship Id="rId10" Type="http://schemas.openxmlformats.org/officeDocument/2006/relationships/table" Target="../tables/table204.xml"/><Relationship Id="rId19" Type="http://schemas.openxmlformats.org/officeDocument/2006/relationships/table" Target="../tables/table213.xml"/><Relationship Id="rId4" Type="http://schemas.openxmlformats.org/officeDocument/2006/relationships/table" Target="../tables/table198.xml"/><Relationship Id="rId9" Type="http://schemas.openxmlformats.org/officeDocument/2006/relationships/table" Target="../tables/table203.xml"/><Relationship Id="rId14" Type="http://schemas.openxmlformats.org/officeDocument/2006/relationships/table" Target="../tables/table208.xml"/></Relationships>
</file>

<file path=xl/worksheets/_rels/sheet15.xml.rels><?xml version="1.0" encoding="UTF-8" standalone="yes"?>
<Relationships xmlns="http://schemas.openxmlformats.org/package/2006/relationships"><Relationship Id="rId8" Type="http://schemas.openxmlformats.org/officeDocument/2006/relationships/table" Target="../tables/table223.xml"/><Relationship Id="rId13" Type="http://schemas.openxmlformats.org/officeDocument/2006/relationships/table" Target="../tables/table228.xml"/><Relationship Id="rId18" Type="http://schemas.openxmlformats.org/officeDocument/2006/relationships/table" Target="../tables/table233.xml"/><Relationship Id="rId3" Type="http://schemas.openxmlformats.org/officeDocument/2006/relationships/table" Target="../tables/table218.xml"/><Relationship Id="rId21" Type="http://schemas.openxmlformats.org/officeDocument/2006/relationships/table" Target="../tables/table236.xml"/><Relationship Id="rId7" Type="http://schemas.openxmlformats.org/officeDocument/2006/relationships/table" Target="../tables/table222.xml"/><Relationship Id="rId12" Type="http://schemas.openxmlformats.org/officeDocument/2006/relationships/table" Target="../tables/table227.xml"/><Relationship Id="rId17" Type="http://schemas.openxmlformats.org/officeDocument/2006/relationships/table" Target="../tables/table232.xml"/><Relationship Id="rId2" Type="http://schemas.openxmlformats.org/officeDocument/2006/relationships/table" Target="../tables/table217.xml"/><Relationship Id="rId16" Type="http://schemas.openxmlformats.org/officeDocument/2006/relationships/table" Target="../tables/table231.xml"/><Relationship Id="rId20" Type="http://schemas.openxmlformats.org/officeDocument/2006/relationships/table" Target="../tables/table235.xml"/><Relationship Id="rId1" Type="http://schemas.openxmlformats.org/officeDocument/2006/relationships/table" Target="../tables/table216.xml"/><Relationship Id="rId6" Type="http://schemas.openxmlformats.org/officeDocument/2006/relationships/table" Target="../tables/table221.xml"/><Relationship Id="rId11" Type="http://schemas.openxmlformats.org/officeDocument/2006/relationships/table" Target="../tables/table226.xml"/><Relationship Id="rId5" Type="http://schemas.openxmlformats.org/officeDocument/2006/relationships/table" Target="../tables/table220.xml"/><Relationship Id="rId15" Type="http://schemas.openxmlformats.org/officeDocument/2006/relationships/table" Target="../tables/table230.xml"/><Relationship Id="rId10" Type="http://schemas.openxmlformats.org/officeDocument/2006/relationships/table" Target="../tables/table225.xml"/><Relationship Id="rId19" Type="http://schemas.openxmlformats.org/officeDocument/2006/relationships/table" Target="../tables/table234.xml"/><Relationship Id="rId4" Type="http://schemas.openxmlformats.org/officeDocument/2006/relationships/table" Target="../tables/table219.xml"/><Relationship Id="rId9" Type="http://schemas.openxmlformats.org/officeDocument/2006/relationships/table" Target="../tables/table224.xml"/><Relationship Id="rId14" Type="http://schemas.openxmlformats.org/officeDocument/2006/relationships/table" Target="../tables/table229.xml"/></Relationships>
</file>

<file path=xl/worksheets/_rels/sheet16.xml.rels><?xml version="1.0" encoding="UTF-8" standalone="yes"?>
<Relationships xmlns="http://schemas.openxmlformats.org/package/2006/relationships"><Relationship Id="rId8" Type="http://schemas.openxmlformats.org/officeDocument/2006/relationships/table" Target="../tables/table244.xml"/><Relationship Id="rId13" Type="http://schemas.openxmlformats.org/officeDocument/2006/relationships/table" Target="../tables/table249.xml"/><Relationship Id="rId18" Type="http://schemas.openxmlformats.org/officeDocument/2006/relationships/table" Target="../tables/table254.xml"/><Relationship Id="rId3" Type="http://schemas.openxmlformats.org/officeDocument/2006/relationships/table" Target="../tables/table239.xml"/><Relationship Id="rId21" Type="http://schemas.openxmlformats.org/officeDocument/2006/relationships/table" Target="../tables/table257.xml"/><Relationship Id="rId7" Type="http://schemas.openxmlformats.org/officeDocument/2006/relationships/table" Target="../tables/table243.xml"/><Relationship Id="rId12" Type="http://schemas.openxmlformats.org/officeDocument/2006/relationships/table" Target="../tables/table248.xml"/><Relationship Id="rId17" Type="http://schemas.openxmlformats.org/officeDocument/2006/relationships/table" Target="../tables/table253.xml"/><Relationship Id="rId2" Type="http://schemas.openxmlformats.org/officeDocument/2006/relationships/table" Target="../tables/table238.xml"/><Relationship Id="rId16" Type="http://schemas.openxmlformats.org/officeDocument/2006/relationships/table" Target="../tables/table252.xml"/><Relationship Id="rId20" Type="http://schemas.openxmlformats.org/officeDocument/2006/relationships/table" Target="../tables/table256.xml"/><Relationship Id="rId1" Type="http://schemas.openxmlformats.org/officeDocument/2006/relationships/table" Target="../tables/table237.xml"/><Relationship Id="rId6" Type="http://schemas.openxmlformats.org/officeDocument/2006/relationships/table" Target="../tables/table242.xml"/><Relationship Id="rId11" Type="http://schemas.openxmlformats.org/officeDocument/2006/relationships/table" Target="../tables/table247.xml"/><Relationship Id="rId5" Type="http://schemas.openxmlformats.org/officeDocument/2006/relationships/table" Target="../tables/table241.xml"/><Relationship Id="rId15" Type="http://schemas.openxmlformats.org/officeDocument/2006/relationships/table" Target="../tables/table251.xml"/><Relationship Id="rId10" Type="http://schemas.openxmlformats.org/officeDocument/2006/relationships/table" Target="../tables/table246.xml"/><Relationship Id="rId19" Type="http://schemas.openxmlformats.org/officeDocument/2006/relationships/table" Target="../tables/table255.xml"/><Relationship Id="rId4" Type="http://schemas.openxmlformats.org/officeDocument/2006/relationships/table" Target="../tables/table240.xml"/><Relationship Id="rId9" Type="http://schemas.openxmlformats.org/officeDocument/2006/relationships/table" Target="../tables/table245.xml"/><Relationship Id="rId14" Type="http://schemas.openxmlformats.org/officeDocument/2006/relationships/table" Target="../tables/table250.xml"/></Relationships>
</file>

<file path=xl/worksheets/_rels/sheet17.xml.rels><?xml version="1.0" encoding="UTF-8" standalone="yes"?>
<Relationships xmlns="http://schemas.openxmlformats.org/package/2006/relationships"><Relationship Id="rId8" Type="http://schemas.openxmlformats.org/officeDocument/2006/relationships/table" Target="../tables/table265.xml"/><Relationship Id="rId13" Type="http://schemas.openxmlformats.org/officeDocument/2006/relationships/table" Target="../tables/table270.xml"/><Relationship Id="rId18" Type="http://schemas.openxmlformats.org/officeDocument/2006/relationships/table" Target="../tables/table275.xml"/><Relationship Id="rId3" Type="http://schemas.openxmlformats.org/officeDocument/2006/relationships/table" Target="../tables/table260.xml"/><Relationship Id="rId21" Type="http://schemas.openxmlformats.org/officeDocument/2006/relationships/table" Target="../tables/table278.xml"/><Relationship Id="rId7" Type="http://schemas.openxmlformats.org/officeDocument/2006/relationships/table" Target="../tables/table264.xml"/><Relationship Id="rId12" Type="http://schemas.openxmlformats.org/officeDocument/2006/relationships/table" Target="../tables/table269.xml"/><Relationship Id="rId17" Type="http://schemas.openxmlformats.org/officeDocument/2006/relationships/table" Target="../tables/table274.xml"/><Relationship Id="rId2" Type="http://schemas.openxmlformats.org/officeDocument/2006/relationships/table" Target="../tables/table259.xml"/><Relationship Id="rId16" Type="http://schemas.openxmlformats.org/officeDocument/2006/relationships/table" Target="../tables/table273.xml"/><Relationship Id="rId20" Type="http://schemas.openxmlformats.org/officeDocument/2006/relationships/table" Target="../tables/table277.xml"/><Relationship Id="rId1" Type="http://schemas.openxmlformats.org/officeDocument/2006/relationships/table" Target="../tables/table258.xml"/><Relationship Id="rId6" Type="http://schemas.openxmlformats.org/officeDocument/2006/relationships/table" Target="../tables/table263.xml"/><Relationship Id="rId11" Type="http://schemas.openxmlformats.org/officeDocument/2006/relationships/table" Target="../tables/table268.xml"/><Relationship Id="rId5" Type="http://schemas.openxmlformats.org/officeDocument/2006/relationships/table" Target="../tables/table262.xml"/><Relationship Id="rId15" Type="http://schemas.openxmlformats.org/officeDocument/2006/relationships/table" Target="../tables/table272.xml"/><Relationship Id="rId10" Type="http://schemas.openxmlformats.org/officeDocument/2006/relationships/table" Target="../tables/table267.xml"/><Relationship Id="rId19" Type="http://schemas.openxmlformats.org/officeDocument/2006/relationships/table" Target="../tables/table276.xml"/><Relationship Id="rId4" Type="http://schemas.openxmlformats.org/officeDocument/2006/relationships/table" Target="../tables/table261.xml"/><Relationship Id="rId9" Type="http://schemas.openxmlformats.org/officeDocument/2006/relationships/table" Target="../tables/table266.xml"/><Relationship Id="rId14" Type="http://schemas.openxmlformats.org/officeDocument/2006/relationships/table" Target="../tables/table27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4.xml"/><Relationship Id="rId7" Type="http://schemas.openxmlformats.org/officeDocument/2006/relationships/table" Target="../tables/table8.xml"/><Relationship Id="rId2" Type="http://schemas.openxmlformats.org/officeDocument/2006/relationships/table" Target="../tables/table3.xml"/><Relationship Id="rId1" Type="http://schemas.openxmlformats.org/officeDocument/2006/relationships/table" Target="../tables/table2.xml"/><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table" Target="../tables/table9.xml"/></Relationships>
</file>

<file path=xl/worksheets/_rels/sheet4.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table" Target="../tables/table13.xml"/><Relationship Id="rId1" Type="http://schemas.openxmlformats.org/officeDocument/2006/relationships/table" Target="../tables/table12.xml"/></Relationships>
</file>

<file path=xl/worksheets/_rels/sheet5.xml.rels><?xml version="1.0" encoding="UTF-8" standalone="yes"?>
<Relationships xmlns="http://schemas.openxmlformats.org/package/2006/relationships"><Relationship Id="rId8" Type="http://schemas.openxmlformats.org/officeDocument/2006/relationships/table" Target="../tables/table21.xml"/><Relationship Id="rId13" Type="http://schemas.openxmlformats.org/officeDocument/2006/relationships/table" Target="../tables/table26.xml"/><Relationship Id="rId3" Type="http://schemas.openxmlformats.org/officeDocument/2006/relationships/table" Target="../tables/table16.xml"/><Relationship Id="rId7" Type="http://schemas.openxmlformats.org/officeDocument/2006/relationships/table" Target="../tables/table20.xml"/><Relationship Id="rId12" Type="http://schemas.openxmlformats.org/officeDocument/2006/relationships/table" Target="../tables/table25.xml"/><Relationship Id="rId2" Type="http://schemas.openxmlformats.org/officeDocument/2006/relationships/table" Target="../tables/table15.xml"/><Relationship Id="rId1" Type="http://schemas.openxmlformats.org/officeDocument/2006/relationships/printerSettings" Target="../printerSettings/printerSettings1.bin"/><Relationship Id="rId6" Type="http://schemas.openxmlformats.org/officeDocument/2006/relationships/table" Target="../tables/table19.xml"/><Relationship Id="rId11" Type="http://schemas.openxmlformats.org/officeDocument/2006/relationships/table" Target="../tables/table24.xml"/><Relationship Id="rId5" Type="http://schemas.openxmlformats.org/officeDocument/2006/relationships/table" Target="../tables/table18.xml"/><Relationship Id="rId10" Type="http://schemas.openxmlformats.org/officeDocument/2006/relationships/table" Target="../tables/table23.xml"/><Relationship Id="rId4" Type="http://schemas.openxmlformats.org/officeDocument/2006/relationships/table" Target="../tables/table17.xml"/><Relationship Id="rId9" Type="http://schemas.openxmlformats.org/officeDocument/2006/relationships/table" Target="../tables/table22.xml"/></Relationships>
</file>

<file path=xl/worksheets/_rels/sheet6.xml.rels><?xml version="1.0" encoding="UTF-8" standalone="yes"?>
<Relationships xmlns="http://schemas.openxmlformats.org/package/2006/relationships"><Relationship Id="rId8" Type="http://schemas.openxmlformats.org/officeDocument/2006/relationships/table" Target="../tables/table34.xml"/><Relationship Id="rId13" Type="http://schemas.openxmlformats.org/officeDocument/2006/relationships/table" Target="../tables/table39.xml"/><Relationship Id="rId18" Type="http://schemas.openxmlformats.org/officeDocument/2006/relationships/table" Target="../tables/table44.xml"/><Relationship Id="rId3" Type="http://schemas.openxmlformats.org/officeDocument/2006/relationships/table" Target="../tables/table29.xml"/><Relationship Id="rId21" Type="http://schemas.openxmlformats.org/officeDocument/2006/relationships/table" Target="../tables/table47.xml"/><Relationship Id="rId7" Type="http://schemas.openxmlformats.org/officeDocument/2006/relationships/table" Target="../tables/table33.xml"/><Relationship Id="rId12" Type="http://schemas.openxmlformats.org/officeDocument/2006/relationships/table" Target="../tables/table38.xml"/><Relationship Id="rId17" Type="http://schemas.openxmlformats.org/officeDocument/2006/relationships/table" Target="../tables/table43.xml"/><Relationship Id="rId2" Type="http://schemas.openxmlformats.org/officeDocument/2006/relationships/table" Target="../tables/table28.xml"/><Relationship Id="rId16" Type="http://schemas.openxmlformats.org/officeDocument/2006/relationships/table" Target="../tables/table42.xml"/><Relationship Id="rId20" Type="http://schemas.openxmlformats.org/officeDocument/2006/relationships/table" Target="../tables/table46.xml"/><Relationship Id="rId1" Type="http://schemas.openxmlformats.org/officeDocument/2006/relationships/table" Target="../tables/table27.xml"/><Relationship Id="rId6" Type="http://schemas.openxmlformats.org/officeDocument/2006/relationships/table" Target="../tables/table32.xml"/><Relationship Id="rId11" Type="http://schemas.openxmlformats.org/officeDocument/2006/relationships/table" Target="../tables/table37.xml"/><Relationship Id="rId5" Type="http://schemas.openxmlformats.org/officeDocument/2006/relationships/table" Target="../tables/table31.xml"/><Relationship Id="rId15" Type="http://schemas.openxmlformats.org/officeDocument/2006/relationships/table" Target="../tables/table41.xml"/><Relationship Id="rId10" Type="http://schemas.openxmlformats.org/officeDocument/2006/relationships/table" Target="../tables/table36.xml"/><Relationship Id="rId19" Type="http://schemas.openxmlformats.org/officeDocument/2006/relationships/table" Target="../tables/table45.xml"/><Relationship Id="rId4" Type="http://schemas.openxmlformats.org/officeDocument/2006/relationships/table" Target="../tables/table30.xml"/><Relationship Id="rId9" Type="http://schemas.openxmlformats.org/officeDocument/2006/relationships/table" Target="../tables/table35.xml"/><Relationship Id="rId14" Type="http://schemas.openxmlformats.org/officeDocument/2006/relationships/table" Target="../tables/table40.xml"/></Relationships>
</file>

<file path=xl/worksheets/_rels/sheet7.xml.rels><?xml version="1.0" encoding="UTF-8" standalone="yes"?>
<Relationships xmlns="http://schemas.openxmlformats.org/package/2006/relationships"><Relationship Id="rId8" Type="http://schemas.openxmlformats.org/officeDocument/2006/relationships/table" Target="../tables/table55.xml"/><Relationship Id="rId13" Type="http://schemas.openxmlformats.org/officeDocument/2006/relationships/table" Target="../tables/table60.xml"/><Relationship Id="rId18" Type="http://schemas.openxmlformats.org/officeDocument/2006/relationships/table" Target="../tables/table65.xml"/><Relationship Id="rId3" Type="http://schemas.openxmlformats.org/officeDocument/2006/relationships/table" Target="../tables/table50.xml"/><Relationship Id="rId21" Type="http://schemas.openxmlformats.org/officeDocument/2006/relationships/table" Target="../tables/table68.xml"/><Relationship Id="rId7" Type="http://schemas.openxmlformats.org/officeDocument/2006/relationships/table" Target="../tables/table54.xml"/><Relationship Id="rId12" Type="http://schemas.openxmlformats.org/officeDocument/2006/relationships/table" Target="../tables/table59.xml"/><Relationship Id="rId17" Type="http://schemas.openxmlformats.org/officeDocument/2006/relationships/table" Target="../tables/table64.xml"/><Relationship Id="rId2" Type="http://schemas.openxmlformats.org/officeDocument/2006/relationships/table" Target="../tables/table49.xml"/><Relationship Id="rId16" Type="http://schemas.openxmlformats.org/officeDocument/2006/relationships/table" Target="../tables/table63.xml"/><Relationship Id="rId20" Type="http://schemas.openxmlformats.org/officeDocument/2006/relationships/table" Target="../tables/table67.xml"/><Relationship Id="rId1" Type="http://schemas.openxmlformats.org/officeDocument/2006/relationships/table" Target="../tables/table48.xml"/><Relationship Id="rId6" Type="http://schemas.openxmlformats.org/officeDocument/2006/relationships/table" Target="../tables/table53.xml"/><Relationship Id="rId11" Type="http://schemas.openxmlformats.org/officeDocument/2006/relationships/table" Target="../tables/table58.xml"/><Relationship Id="rId5" Type="http://schemas.openxmlformats.org/officeDocument/2006/relationships/table" Target="../tables/table52.xml"/><Relationship Id="rId15" Type="http://schemas.openxmlformats.org/officeDocument/2006/relationships/table" Target="../tables/table62.xml"/><Relationship Id="rId10" Type="http://schemas.openxmlformats.org/officeDocument/2006/relationships/table" Target="../tables/table57.xml"/><Relationship Id="rId19" Type="http://schemas.openxmlformats.org/officeDocument/2006/relationships/table" Target="../tables/table66.xml"/><Relationship Id="rId4" Type="http://schemas.openxmlformats.org/officeDocument/2006/relationships/table" Target="../tables/table51.xml"/><Relationship Id="rId9" Type="http://schemas.openxmlformats.org/officeDocument/2006/relationships/table" Target="../tables/table56.xml"/><Relationship Id="rId14" Type="http://schemas.openxmlformats.org/officeDocument/2006/relationships/table" Target="../tables/table61.xml"/></Relationships>
</file>

<file path=xl/worksheets/_rels/sheet8.xml.rels><?xml version="1.0" encoding="UTF-8" standalone="yes"?>
<Relationships xmlns="http://schemas.openxmlformats.org/package/2006/relationships"><Relationship Id="rId8" Type="http://schemas.openxmlformats.org/officeDocument/2006/relationships/table" Target="../tables/table76.xml"/><Relationship Id="rId13" Type="http://schemas.openxmlformats.org/officeDocument/2006/relationships/table" Target="../tables/table81.xml"/><Relationship Id="rId18" Type="http://schemas.openxmlformats.org/officeDocument/2006/relationships/table" Target="../tables/table86.xml"/><Relationship Id="rId3" Type="http://schemas.openxmlformats.org/officeDocument/2006/relationships/table" Target="../tables/table71.xml"/><Relationship Id="rId21" Type="http://schemas.openxmlformats.org/officeDocument/2006/relationships/table" Target="../tables/table89.xml"/><Relationship Id="rId7" Type="http://schemas.openxmlformats.org/officeDocument/2006/relationships/table" Target="../tables/table75.xml"/><Relationship Id="rId12" Type="http://schemas.openxmlformats.org/officeDocument/2006/relationships/table" Target="../tables/table80.xml"/><Relationship Id="rId17" Type="http://schemas.openxmlformats.org/officeDocument/2006/relationships/table" Target="../tables/table85.xml"/><Relationship Id="rId2" Type="http://schemas.openxmlformats.org/officeDocument/2006/relationships/table" Target="../tables/table70.xml"/><Relationship Id="rId16" Type="http://schemas.openxmlformats.org/officeDocument/2006/relationships/table" Target="../tables/table84.xml"/><Relationship Id="rId20" Type="http://schemas.openxmlformats.org/officeDocument/2006/relationships/table" Target="../tables/table88.xml"/><Relationship Id="rId1" Type="http://schemas.openxmlformats.org/officeDocument/2006/relationships/table" Target="../tables/table69.xml"/><Relationship Id="rId6" Type="http://schemas.openxmlformats.org/officeDocument/2006/relationships/table" Target="../tables/table74.xml"/><Relationship Id="rId11" Type="http://schemas.openxmlformats.org/officeDocument/2006/relationships/table" Target="../tables/table79.xml"/><Relationship Id="rId5" Type="http://schemas.openxmlformats.org/officeDocument/2006/relationships/table" Target="../tables/table73.xml"/><Relationship Id="rId15" Type="http://schemas.openxmlformats.org/officeDocument/2006/relationships/table" Target="../tables/table83.xml"/><Relationship Id="rId10" Type="http://schemas.openxmlformats.org/officeDocument/2006/relationships/table" Target="../tables/table78.xml"/><Relationship Id="rId19" Type="http://schemas.openxmlformats.org/officeDocument/2006/relationships/table" Target="../tables/table87.xml"/><Relationship Id="rId4" Type="http://schemas.openxmlformats.org/officeDocument/2006/relationships/table" Target="../tables/table72.xml"/><Relationship Id="rId9" Type="http://schemas.openxmlformats.org/officeDocument/2006/relationships/table" Target="../tables/table77.xml"/><Relationship Id="rId14" Type="http://schemas.openxmlformats.org/officeDocument/2006/relationships/table" Target="../tables/table82.xml"/></Relationships>
</file>

<file path=xl/worksheets/_rels/sheet9.xml.rels><?xml version="1.0" encoding="UTF-8" standalone="yes"?>
<Relationships xmlns="http://schemas.openxmlformats.org/package/2006/relationships"><Relationship Id="rId8" Type="http://schemas.openxmlformats.org/officeDocument/2006/relationships/table" Target="../tables/table97.xml"/><Relationship Id="rId13" Type="http://schemas.openxmlformats.org/officeDocument/2006/relationships/table" Target="../tables/table102.xml"/><Relationship Id="rId18" Type="http://schemas.openxmlformats.org/officeDocument/2006/relationships/table" Target="../tables/table107.xml"/><Relationship Id="rId3" Type="http://schemas.openxmlformats.org/officeDocument/2006/relationships/table" Target="../tables/table92.xml"/><Relationship Id="rId21" Type="http://schemas.openxmlformats.org/officeDocument/2006/relationships/table" Target="../tables/table110.xml"/><Relationship Id="rId7" Type="http://schemas.openxmlformats.org/officeDocument/2006/relationships/table" Target="../tables/table96.xml"/><Relationship Id="rId12" Type="http://schemas.openxmlformats.org/officeDocument/2006/relationships/table" Target="../tables/table101.xml"/><Relationship Id="rId17" Type="http://schemas.openxmlformats.org/officeDocument/2006/relationships/table" Target="../tables/table106.xml"/><Relationship Id="rId2" Type="http://schemas.openxmlformats.org/officeDocument/2006/relationships/table" Target="../tables/table91.xml"/><Relationship Id="rId16" Type="http://schemas.openxmlformats.org/officeDocument/2006/relationships/table" Target="../tables/table105.xml"/><Relationship Id="rId20" Type="http://schemas.openxmlformats.org/officeDocument/2006/relationships/table" Target="../tables/table109.xml"/><Relationship Id="rId1" Type="http://schemas.openxmlformats.org/officeDocument/2006/relationships/table" Target="../tables/table90.xml"/><Relationship Id="rId6" Type="http://schemas.openxmlformats.org/officeDocument/2006/relationships/table" Target="../tables/table95.xml"/><Relationship Id="rId11" Type="http://schemas.openxmlformats.org/officeDocument/2006/relationships/table" Target="../tables/table100.xml"/><Relationship Id="rId5" Type="http://schemas.openxmlformats.org/officeDocument/2006/relationships/table" Target="../tables/table94.xml"/><Relationship Id="rId15" Type="http://schemas.openxmlformats.org/officeDocument/2006/relationships/table" Target="../tables/table104.xml"/><Relationship Id="rId10" Type="http://schemas.openxmlformats.org/officeDocument/2006/relationships/table" Target="../tables/table99.xml"/><Relationship Id="rId19" Type="http://schemas.openxmlformats.org/officeDocument/2006/relationships/table" Target="../tables/table108.xml"/><Relationship Id="rId4" Type="http://schemas.openxmlformats.org/officeDocument/2006/relationships/table" Target="../tables/table93.xml"/><Relationship Id="rId9" Type="http://schemas.openxmlformats.org/officeDocument/2006/relationships/table" Target="../tables/table98.xml"/><Relationship Id="rId14" Type="http://schemas.openxmlformats.org/officeDocument/2006/relationships/table" Target="../tables/table10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9B167-BBA7-5046-A1B8-CDBE8B6F46ED}">
  <dimension ref="A1:D44"/>
  <sheetViews>
    <sheetView workbookViewId="0">
      <selection activeCell="D44" sqref="D44"/>
    </sheetView>
  </sheetViews>
  <sheetFormatPr baseColWidth="10" defaultRowHeight="15" x14ac:dyDescent="0.2"/>
  <cols>
    <col min="1" max="1" width="66.5" style="6642" customWidth="1"/>
    <col min="2" max="16384" width="10.83203125" style="6642"/>
  </cols>
  <sheetData>
    <row r="1" spans="1:4" ht="16" x14ac:dyDescent="0.2">
      <c r="A1" s="6641" t="s">
        <v>6068</v>
      </c>
    </row>
    <row r="2" spans="1:4" ht="16" x14ac:dyDescent="0.2">
      <c r="A2" s="6641" t="s">
        <v>6069</v>
      </c>
    </row>
    <row r="3" spans="1:4" ht="16" x14ac:dyDescent="0.2">
      <c r="A3" s="6641" t="s">
        <v>6146</v>
      </c>
    </row>
    <row r="4" spans="1:4" ht="16" x14ac:dyDescent="0.2">
      <c r="A4" s="6641" t="s">
        <v>6070</v>
      </c>
    </row>
    <row r="5" spans="1:4" ht="16" x14ac:dyDescent="0.2">
      <c r="A5" s="6641" t="s">
        <v>6071</v>
      </c>
    </row>
    <row r="6" spans="1:4" ht="16" x14ac:dyDescent="0.2">
      <c r="A6" s="6641" t="s">
        <v>6072</v>
      </c>
    </row>
    <row r="7" spans="1:4" ht="16" x14ac:dyDescent="0.2">
      <c r="A7" s="6641" t="s">
        <v>6073</v>
      </c>
    </row>
    <row r="8" spans="1:4" ht="16" x14ac:dyDescent="0.2">
      <c r="A8" s="6641" t="s">
        <v>6074</v>
      </c>
    </row>
    <row r="9" spans="1:4" ht="16" x14ac:dyDescent="0.2">
      <c r="A9" s="6641" t="s">
        <v>6075</v>
      </c>
    </row>
    <row r="10" spans="1:4" ht="16" x14ac:dyDescent="0.2">
      <c r="A10" s="6641" t="s">
        <v>6076</v>
      </c>
      <c r="B10" s="6643"/>
      <c r="C10" s="6643"/>
      <c r="D10" s="6644"/>
    </row>
    <row r="11" spans="1:4" ht="64" x14ac:dyDescent="0.2">
      <c r="A11" s="6639" t="s">
        <v>6077</v>
      </c>
      <c r="B11" s="6640" t="s">
        <v>6078</v>
      </c>
      <c r="C11" s="6640" t="s">
        <v>6079</v>
      </c>
      <c r="D11" s="6630" t="s">
        <v>6080</v>
      </c>
    </row>
    <row r="12" spans="1:4" ht="17" x14ac:dyDescent="0.2">
      <c r="A12" s="6645" t="s">
        <v>6081</v>
      </c>
      <c r="B12" s="6643"/>
      <c r="C12" s="6643"/>
      <c r="D12" s="6644"/>
    </row>
    <row r="13" spans="1:4" ht="17" x14ac:dyDescent="0.2">
      <c r="A13" s="6646" t="s">
        <v>6082</v>
      </c>
      <c r="B13" s="6643"/>
      <c r="C13" s="6643"/>
      <c r="D13" s="6644" t="s">
        <v>6083</v>
      </c>
    </row>
    <row r="14" spans="1:4" ht="17" x14ac:dyDescent="0.2">
      <c r="A14" s="6646" t="s">
        <v>6084</v>
      </c>
      <c r="B14" s="6643"/>
      <c r="C14" s="6643"/>
      <c r="D14" s="6644" t="s">
        <v>6085</v>
      </c>
    </row>
    <row r="15" spans="1:4" ht="17" x14ac:dyDescent="0.2">
      <c r="A15" s="6646" t="s">
        <v>6086</v>
      </c>
      <c r="B15" s="6643"/>
      <c r="C15" s="6643"/>
      <c r="D15" s="6644" t="s">
        <v>6087</v>
      </c>
    </row>
    <row r="16" spans="1:4" ht="17" x14ac:dyDescent="0.2">
      <c r="A16" s="6645" t="s">
        <v>6088</v>
      </c>
      <c r="B16" s="6643"/>
      <c r="C16" s="6643"/>
      <c r="D16" s="6644"/>
    </row>
    <row r="17" spans="1:4" ht="17" x14ac:dyDescent="0.2">
      <c r="A17" s="6646" t="s">
        <v>6089</v>
      </c>
      <c r="B17" s="6643">
        <v>24</v>
      </c>
      <c r="C17" s="6643"/>
      <c r="D17" s="6644" t="s">
        <v>6090</v>
      </c>
    </row>
    <row r="18" spans="1:4" ht="17" x14ac:dyDescent="0.2">
      <c r="A18" s="6646" t="s">
        <v>6091</v>
      </c>
      <c r="B18" s="6643">
        <v>24</v>
      </c>
      <c r="C18" s="6643"/>
      <c r="D18" s="6644" t="s">
        <v>6092</v>
      </c>
    </row>
    <row r="19" spans="1:4" ht="17" x14ac:dyDescent="0.2">
      <c r="A19" s="6646" t="s">
        <v>6093</v>
      </c>
      <c r="B19" s="6643">
        <v>24</v>
      </c>
      <c r="C19" s="6643"/>
      <c r="D19" s="6644" t="s">
        <v>6094</v>
      </c>
    </row>
    <row r="20" spans="1:4" ht="17" x14ac:dyDescent="0.2">
      <c r="A20" s="6646" t="s">
        <v>6095</v>
      </c>
      <c r="B20" s="6643">
        <v>24</v>
      </c>
      <c r="C20" s="6643"/>
      <c r="D20" s="6644" t="s">
        <v>6096</v>
      </c>
    </row>
    <row r="21" spans="1:4" ht="17" x14ac:dyDescent="0.2">
      <c r="A21" s="6646" t="s">
        <v>6097</v>
      </c>
      <c r="B21" s="6643">
        <v>24</v>
      </c>
      <c r="C21" s="6643" t="s">
        <v>6098</v>
      </c>
      <c r="D21" s="6644" t="s">
        <v>6099</v>
      </c>
    </row>
    <row r="22" spans="1:4" ht="16" x14ac:dyDescent="0.2">
      <c r="A22" s="6646"/>
      <c r="B22" s="6643"/>
      <c r="C22" s="6643"/>
      <c r="D22" s="6644"/>
    </row>
    <row r="23" spans="1:4" ht="17" x14ac:dyDescent="0.2">
      <c r="A23" s="6645" t="s">
        <v>6100</v>
      </c>
      <c r="B23" s="6643"/>
      <c r="C23" s="6643"/>
      <c r="D23" s="6644"/>
    </row>
    <row r="24" spans="1:4" ht="17" x14ac:dyDescent="0.2">
      <c r="A24" s="6647" t="s">
        <v>6101</v>
      </c>
      <c r="B24" s="6643">
        <v>27</v>
      </c>
      <c r="C24" s="6643"/>
      <c r="D24" s="6644" t="s">
        <v>6102</v>
      </c>
    </row>
    <row r="25" spans="1:4" ht="17" x14ac:dyDescent="0.2">
      <c r="A25" s="6647" t="s">
        <v>6103</v>
      </c>
      <c r="B25" s="6643">
        <v>27</v>
      </c>
      <c r="C25" s="6643" t="s">
        <v>6104</v>
      </c>
      <c r="D25" s="6644" t="s">
        <v>6105</v>
      </c>
    </row>
    <row r="26" spans="1:4" ht="17" x14ac:dyDescent="0.2">
      <c r="A26" s="6631" t="s">
        <v>6106</v>
      </c>
      <c r="B26" s="6632">
        <v>27</v>
      </c>
      <c r="C26" s="6632" t="s">
        <v>6107</v>
      </c>
      <c r="D26" s="6633" t="s">
        <v>6108</v>
      </c>
    </row>
    <row r="27" spans="1:4" ht="17" x14ac:dyDescent="0.2">
      <c r="A27" s="6631" t="s">
        <v>6109</v>
      </c>
      <c r="B27" s="6632">
        <v>27</v>
      </c>
      <c r="C27" s="6632" t="s">
        <v>6110</v>
      </c>
      <c r="D27" s="6633" t="s">
        <v>6111</v>
      </c>
    </row>
    <row r="28" spans="1:4" ht="17" x14ac:dyDescent="0.2">
      <c r="A28" s="6631" t="s">
        <v>6112</v>
      </c>
      <c r="B28" s="6632">
        <v>27</v>
      </c>
      <c r="C28" s="6632" t="s">
        <v>6113</v>
      </c>
      <c r="D28" s="6633" t="s">
        <v>6114</v>
      </c>
    </row>
    <row r="29" spans="1:4" ht="16" x14ac:dyDescent="0.2">
      <c r="A29" s="6647" t="s">
        <v>6115</v>
      </c>
      <c r="B29" s="6643">
        <v>9</v>
      </c>
      <c r="C29" s="6643"/>
      <c r="D29" s="6648" t="s">
        <v>6116</v>
      </c>
    </row>
    <row r="30" spans="1:4" ht="16" x14ac:dyDescent="0.2">
      <c r="A30" s="6647" t="s">
        <v>6117</v>
      </c>
      <c r="B30" s="6634">
        <v>9</v>
      </c>
      <c r="C30" s="6634"/>
      <c r="D30" s="6648" t="s">
        <v>6118</v>
      </c>
    </row>
    <row r="31" spans="1:4" ht="16" x14ac:dyDescent="0.2">
      <c r="A31" s="6635" t="s">
        <v>6119</v>
      </c>
      <c r="B31" s="6632">
        <v>9</v>
      </c>
      <c r="C31" s="6632" t="s">
        <v>6120</v>
      </c>
      <c r="D31" s="6636" t="s">
        <v>6121</v>
      </c>
    </row>
    <row r="32" spans="1:4" x14ac:dyDescent="0.2">
      <c r="A32" s="6649"/>
      <c r="B32" s="6650"/>
      <c r="C32" s="6650"/>
      <c r="D32" s="6651"/>
    </row>
    <row r="33" spans="1:4" ht="17" x14ac:dyDescent="0.2">
      <c r="A33" s="6652" t="s">
        <v>6122</v>
      </c>
      <c r="B33" s="6643"/>
      <c r="C33" s="6643"/>
      <c r="D33" s="6644"/>
    </row>
    <row r="34" spans="1:4" ht="16" x14ac:dyDescent="0.2">
      <c r="A34" s="6647" t="s">
        <v>6123</v>
      </c>
      <c r="B34" s="6643">
        <v>25</v>
      </c>
      <c r="C34" s="6643" t="s">
        <v>6124</v>
      </c>
      <c r="D34" s="6648" t="s">
        <v>6125</v>
      </c>
    </row>
    <row r="35" spans="1:4" ht="16" x14ac:dyDescent="0.2">
      <c r="A35" s="6647" t="s">
        <v>6126</v>
      </c>
      <c r="B35" s="6643">
        <v>25</v>
      </c>
      <c r="C35" s="6643" t="s">
        <v>6127</v>
      </c>
      <c r="D35" s="6648" t="s">
        <v>6128</v>
      </c>
    </row>
    <row r="36" spans="1:4" ht="17" x14ac:dyDescent="0.2">
      <c r="A36" s="6652" t="s">
        <v>6129</v>
      </c>
      <c r="B36" s="6643"/>
      <c r="C36" s="6643"/>
      <c r="D36" s="6653"/>
    </row>
    <row r="37" spans="1:4" ht="16" x14ac:dyDescent="0.2">
      <c r="A37" s="6631" t="s">
        <v>6130</v>
      </c>
      <c r="B37" s="6632">
        <v>28</v>
      </c>
      <c r="C37" s="6632" t="s">
        <v>6131</v>
      </c>
      <c r="D37" s="6648" t="s">
        <v>6132</v>
      </c>
    </row>
    <row r="38" spans="1:4" ht="16" x14ac:dyDescent="0.2">
      <c r="A38" s="6631" t="s">
        <v>6133</v>
      </c>
      <c r="B38" s="6632">
        <v>28</v>
      </c>
      <c r="C38" s="6632" t="s">
        <v>6134</v>
      </c>
      <c r="D38" s="6648" t="s">
        <v>6135</v>
      </c>
    </row>
    <row r="39" spans="1:4" ht="16" x14ac:dyDescent="0.2">
      <c r="A39" s="6631" t="s">
        <v>6136</v>
      </c>
      <c r="B39" s="6632">
        <v>28</v>
      </c>
      <c r="C39" s="6632"/>
      <c r="D39" s="6648" t="s">
        <v>6137</v>
      </c>
    </row>
    <row r="40" spans="1:4" ht="16" x14ac:dyDescent="0.2">
      <c r="A40" s="6631" t="s">
        <v>6138</v>
      </c>
      <c r="B40" s="6632">
        <v>28</v>
      </c>
      <c r="C40" s="6632"/>
      <c r="D40" s="6648" t="s">
        <v>6139</v>
      </c>
    </row>
    <row r="41" spans="1:4" ht="16" x14ac:dyDescent="0.2">
      <c r="A41" s="6631" t="s">
        <v>6140</v>
      </c>
      <c r="B41" s="6632">
        <v>28</v>
      </c>
      <c r="C41" s="6632" t="s">
        <v>6120</v>
      </c>
      <c r="D41" s="6648" t="s">
        <v>6141</v>
      </c>
    </row>
    <row r="42" spans="1:4" ht="17" x14ac:dyDescent="0.2">
      <c r="A42" s="6652" t="s">
        <v>6142</v>
      </c>
      <c r="B42" s="6643"/>
      <c r="C42" s="6643"/>
      <c r="D42" s="6654"/>
    </row>
    <row r="43" spans="1:4" ht="32" x14ac:dyDescent="0.2">
      <c r="A43" s="6637" t="s">
        <v>6143</v>
      </c>
      <c r="B43" s="6638" t="s">
        <v>6144</v>
      </c>
      <c r="C43" s="6638"/>
      <c r="D43" s="6648" t="s">
        <v>6145</v>
      </c>
    </row>
    <row r="44" spans="1:4" ht="123" customHeight="1" x14ac:dyDescent="0.2">
      <c r="A44" s="6647" t="s">
        <v>6147</v>
      </c>
      <c r="B44" s="6653"/>
      <c r="C44" s="6653"/>
      <c r="D44" s="6653"/>
    </row>
  </sheetData>
  <pageMargins left="0.7" right="0.7" top="0.75" bottom="0.75" header="0.3" footer="0.3"/>
  <tableParts count="1">
    <tablePart r:id="rId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132"/>
  <sheetViews>
    <sheetView zoomScaleNormal="100" workbookViewId="0">
      <selection activeCell="D14" sqref="D14"/>
    </sheetView>
  </sheetViews>
  <sheetFormatPr baseColWidth="10" defaultColWidth="8.83203125" defaultRowHeight="15" x14ac:dyDescent="0.2"/>
  <cols>
    <col min="1" max="1" width="9.33203125" style="296" customWidth="1"/>
    <col min="2" max="5" width="15.83203125" style="4" customWidth="1"/>
    <col min="6" max="6" width="8.83203125" style="4"/>
    <col min="7" max="7" width="15.83203125" style="296" customWidth="1"/>
    <col min="8" max="14" width="15.83203125" style="4" customWidth="1"/>
    <col min="15" max="15" width="8.83203125" style="4"/>
    <col min="16" max="16" width="15.83203125" style="296" customWidth="1"/>
    <col min="17" max="20" width="15.83203125" style="4" customWidth="1"/>
    <col min="21" max="16384" width="8.83203125" style="4"/>
  </cols>
  <sheetData>
    <row r="1" spans="1:20" x14ac:dyDescent="0.2">
      <c r="A1" s="296" t="s">
        <v>1308</v>
      </c>
      <c r="G1" s="296" t="s">
        <v>1412</v>
      </c>
      <c r="P1" s="296" t="s">
        <v>1531</v>
      </c>
    </row>
    <row r="2" spans="1:20" s="3" customFormat="1" x14ac:dyDescent="0.2">
      <c r="A2" s="6126" t="s">
        <v>1309</v>
      </c>
      <c r="B2" s="6127" t="s">
        <v>1310</v>
      </c>
      <c r="C2" s="6128" t="s">
        <v>1311</v>
      </c>
      <c r="D2" s="6129" t="s">
        <v>1312</v>
      </c>
      <c r="E2" s="6130" t="s">
        <v>1313</v>
      </c>
      <c r="G2" s="6131" t="s">
        <v>1413</v>
      </c>
      <c r="H2" s="6132" t="s">
        <v>1414</v>
      </c>
      <c r="I2" s="6133" t="s">
        <v>1415</v>
      </c>
      <c r="J2" s="6134" t="s">
        <v>1416</v>
      </c>
      <c r="K2" s="6135" t="s">
        <v>1417</v>
      </c>
      <c r="L2" s="6136" t="s">
        <v>1516</v>
      </c>
      <c r="M2" s="6137" t="s">
        <v>1517</v>
      </c>
      <c r="N2" s="6138" t="s">
        <v>1518</v>
      </c>
      <c r="P2" s="6139" t="s">
        <v>1532</v>
      </c>
      <c r="Q2" s="6140" t="s">
        <v>1533</v>
      </c>
      <c r="R2" s="6141" t="s">
        <v>1534</v>
      </c>
      <c r="S2" s="6142" t="s">
        <v>1535</v>
      </c>
      <c r="T2" s="6143" t="s">
        <v>1536</v>
      </c>
    </row>
    <row r="3" spans="1:20" x14ac:dyDescent="0.2">
      <c r="A3" s="296" t="s">
        <v>1314</v>
      </c>
      <c r="B3" s="4">
        <v>81.226804079125202</v>
      </c>
      <c r="C3" s="4">
        <v>81.644177216293642</v>
      </c>
      <c r="D3" s="4">
        <v>0.41737313716844937</v>
      </c>
      <c r="E3" s="3582" t="str">
        <f>IF(       0.836&lt;0.01,"***",IF(       0.836&lt;0.05,"**",IF(       0.836&lt;0.1,"*","NS")))</f>
        <v>NS</v>
      </c>
      <c r="G3" s="296" t="s">
        <v>1418</v>
      </c>
      <c r="H3" s="4">
        <v>81.226804079125202</v>
      </c>
      <c r="I3" s="4">
        <v>81.275968005049492</v>
      </c>
      <c r="J3" s="4">
        <v>4.9163925924309348E-2</v>
      </c>
      <c r="K3" s="3583" t="str">
        <f>IF(       0.98&lt;0.01,"***",IF(       0.98&lt;0.05,"**",IF(       0.98&lt;0.1,"*","NS")))</f>
        <v>NS</v>
      </c>
      <c r="L3" s="4">
        <v>83.080512597032836</v>
      </c>
      <c r="M3" s="4">
        <v>1.8537085179076618</v>
      </c>
      <c r="N3" s="3584" t="str">
        <f>IF(       0.558&lt;0.01,"***",IF(       0.558&lt;0.05,"**",IF(       0.558&lt;0.1,"*","NS")))</f>
        <v>NS</v>
      </c>
      <c r="P3" s="296" t="s">
        <v>1537</v>
      </c>
      <c r="Q3" s="4">
        <v>81.244406831323232</v>
      </c>
      <c r="R3" s="4">
        <v>83.080512597032836</v>
      </c>
      <c r="S3" s="4">
        <v>1.836105765709622</v>
      </c>
      <c r="T3" s="3585" t="str">
        <f>IF(       0.511&lt;0.01,"***",IF(       0.511&lt;0.05,"**",IF(       0.511&lt;0.1,"*","NS")))</f>
        <v>NS</v>
      </c>
    </row>
    <row r="4" spans="1:20" x14ac:dyDescent="0.2">
      <c r="A4" s="296" t="s">
        <v>1315</v>
      </c>
      <c r="B4" s="4">
        <v>53.135308975793947</v>
      </c>
      <c r="C4" s="4">
        <v>49.79259821537854</v>
      </c>
      <c r="D4" s="4">
        <v>-3.3427107604153918</v>
      </c>
      <c r="E4" s="3586" t="str">
        <f>IF(       0.259&lt;0.01,"***",IF(       0.259&lt;0.05,"**",IF(       0.259&lt;0.1,"*","NS")))</f>
        <v>NS</v>
      </c>
      <c r="G4" s="296" t="s">
        <v>1419</v>
      </c>
      <c r="H4" s="4">
        <v>53.135308975793947</v>
      </c>
      <c r="I4" s="4">
        <v>49.592840507686049</v>
      </c>
      <c r="J4" s="4">
        <v>-3.5424684681078777</v>
      </c>
      <c r="K4" s="3587" t="str">
        <f>IF(       0.249&lt;0.01,"***",IF(       0.249&lt;0.05,"**",IF(       0.249&lt;0.1,"*","NS")))</f>
        <v>NS</v>
      </c>
      <c r="L4" s="4">
        <v>50.316227311419652</v>
      </c>
      <c r="M4" s="4">
        <v>-2.819081664374278</v>
      </c>
      <c r="N4" s="3588" t="str">
        <f>IF(       0.501&lt;0.01,"***",IF(       0.501&lt;0.05,"**",IF(       0.501&lt;0.1,"*","NS")))</f>
        <v>NS</v>
      </c>
      <c r="P4" s="296" t="s">
        <v>1538</v>
      </c>
      <c r="Q4" s="4">
        <v>52.115245374964729</v>
      </c>
      <c r="R4" s="4">
        <v>50.316227311419652</v>
      </c>
      <c r="S4" s="4">
        <v>-1.7990180635450965</v>
      </c>
      <c r="T4" s="3589" t="str">
        <f>IF(       0.64&lt;0.01,"***",IF(       0.64&lt;0.05,"**",IF(       0.64&lt;0.1,"*","NS")))</f>
        <v>NS</v>
      </c>
    </row>
    <row r="5" spans="1:20" x14ac:dyDescent="0.2">
      <c r="A5" s="296" t="s">
        <v>1316</v>
      </c>
      <c r="B5" s="4">
        <v>86.474905385117538</v>
      </c>
      <c r="C5" s="4">
        <v>81.567658508732976</v>
      </c>
      <c r="D5" s="4">
        <v>-4.9072468763845949</v>
      </c>
      <c r="E5" s="3590" t="str">
        <f>IF(       0.038&lt;0.01,"***",IF(       0.038&lt;0.05,"**",IF(       0.038&lt;0.1,"*","NS")))</f>
        <v>**</v>
      </c>
      <c r="G5" s="296" t="s">
        <v>1420</v>
      </c>
      <c r="H5" s="4">
        <v>86.474905385117538</v>
      </c>
      <c r="I5" s="4">
        <v>82.37472874549411</v>
      </c>
      <c r="J5" s="4">
        <v>-4.1001766396234665</v>
      </c>
      <c r="K5" s="3591" t="str">
        <f>IF(       0.041&lt;0.01,"***",IF(       0.041&lt;0.05,"**",IF(       0.041&lt;0.1,"*","NS")))</f>
        <v>**</v>
      </c>
      <c r="L5" s="4">
        <v>79.135598335006534</v>
      </c>
      <c r="M5" s="4">
        <v>-7.3393070501109268</v>
      </c>
      <c r="N5" s="3592" t="str">
        <f>IF(       0.091&lt;0.01,"***",IF(       0.091&lt;0.05,"**",IF(       0.091&lt;0.1,"*","NS")))</f>
        <v>*</v>
      </c>
      <c r="P5" s="296" t="s">
        <v>1539</v>
      </c>
      <c r="Q5" s="4">
        <v>85.504030816497249</v>
      </c>
      <c r="R5" s="4">
        <v>79.135598335006534</v>
      </c>
      <c r="S5" s="4">
        <v>-6.3684324814906734</v>
      </c>
      <c r="T5" s="3593" t="str">
        <f>IF(       0.115&lt;0.01,"***",IF(       0.115&lt;0.05,"**",IF(       0.115&lt;0.1,"*","NS")))</f>
        <v>NS</v>
      </c>
    </row>
    <row r="6" spans="1:20" x14ac:dyDescent="0.2">
      <c r="A6" s="296" t="s">
        <v>1317</v>
      </c>
      <c r="B6" s="4">
        <v>95.403799029753742</v>
      </c>
      <c r="C6" s="4">
        <v>95.40172024782342</v>
      </c>
      <c r="D6" s="4">
        <v>-2.0787819303382605E-3</v>
      </c>
      <c r="E6" s="3594" t="str">
        <f>IF(       0.999&lt;0.01,"***",IF(       0.999&lt;0.05,"**",IF(       0.999&lt;0.1,"*","NS")))</f>
        <v>NS</v>
      </c>
      <c r="G6" s="296" t="s">
        <v>1421</v>
      </c>
      <c r="H6" s="4">
        <v>95.403799029753742</v>
      </c>
      <c r="I6" s="4">
        <v>95.589869827980408</v>
      </c>
      <c r="J6" s="4">
        <v>0.18607079822665268</v>
      </c>
      <c r="K6" s="3595" t="str">
        <f>IF(       0.873&lt;0.01,"***",IF(       0.873&lt;0.05,"**",IF(       0.873&lt;0.1,"*","NS")))</f>
        <v>NS</v>
      </c>
      <c r="L6" s="4">
        <v>94.68958605731261</v>
      </c>
      <c r="M6" s="4">
        <v>-0.71421297244114712</v>
      </c>
      <c r="N6" s="3596" t="str">
        <f>IF(       0.696&lt;0.01,"***",IF(       0.696&lt;0.05,"**",IF(       0.696&lt;0.1,"*","NS")))</f>
        <v>NS</v>
      </c>
      <c r="P6" s="296" t="s">
        <v>1540</v>
      </c>
      <c r="Q6" s="4">
        <v>95.458283999815848</v>
      </c>
      <c r="R6" s="4">
        <v>94.68958605731261</v>
      </c>
      <c r="S6" s="4">
        <v>-0.7686979425032584</v>
      </c>
      <c r="T6" s="3597" t="str">
        <f>IF(       0.634&lt;0.01,"***",IF(       0.634&lt;0.05,"**",IF(       0.634&lt;0.1,"*","NS")))</f>
        <v>NS</v>
      </c>
    </row>
    <row r="7" spans="1:20" x14ac:dyDescent="0.2">
      <c r="A7" s="296" t="s">
        <v>1318</v>
      </c>
      <c r="B7" s="4">
        <v>79.379553309181588</v>
      </c>
      <c r="C7" s="4">
        <v>74.640940164232347</v>
      </c>
      <c r="D7" s="4">
        <v>-4.7386131449493583</v>
      </c>
      <c r="E7" s="3598" t="str">
        <f>IF(       0.038&lt;0.01,"***",IF(       0.038&lt;0.05,"**",IF(       0.038&lt;0.1,"*","NS")))</f>
        <v>**</v>
      </c>
      <c r="G7" s="296" t="s">
        <v>1422</v>
      </c>
      <c r="H7" s="4">
        <v>79.379553309181588</v>
      </c>
      <c r="I7" s="4">
        <v>74.507998999077586</v>
      </c>
      <c r="J7" s="4">
        <v>-4.8715543101039156</v>
      </c>
      <c r="K7" s="3599" t="str">
        <f>IF(       0.043&lt;0.01,"***",IF(       0.043&lt;0.05,"**",IF(       0.043&lt;0.1,"*","NS")))</f>
        <v>**</v>
      </c>
      <c r="L7" s="4">
        <v>75.270318103851281</v>
      </c>
      <c r="M7" s="4">
        <v>-4.1092352053303607</v>
      </c>
      <c r="N7" s="3600" t="str">
        <f>IF(       0.39&lt;0.01,"***",IF(       0.39&lt;0.05,"**",IF(       0.39&lt;0.1,"*","NS")))</f>
        <v>NS</v>
      </c>
      <c r="P7" s="296" t="s">
        <v>1541</v>
      </c>
      <c r="Q7" s="4">
        <v>78.092547597157093</v>
      </c>
      <c r="R7" s="4">
        <v>75.270318103851281</v>
      </c>
      <c r="S7" s="4">
        <v>-2.8222294933059175</v>
      </c>
      <c r="T7" s="3601" t="str">
        <f>IF(       0.552&lt;0.01,"***",IF(       0.552&lt;0.05,"**",IF(       0.552&lt;0.1,"*","NS")))</f>
        <v>NS</v>
      </c>
    </row>
    <row r="8" spans="1:20" x14ac:dyDescent="0.2">
      <c r="A8" s="296" t="s">
        <v>1319</v>
      </c>
      <c r="B8" s="4">
        <v>93.334587090932573</v>
      </c>
      <c r="C8" s="4">
        <v>85.757346510294951</v>
      </c>
      <c r="D8" s="4">
        <v>-7.5772405806375733</v>
      </c>
      <c r="E8" s="3602" t="str">
        <f>IF(       0.001&lt;0.01,"***",IF(       0.001&lt;0.05,"**",IF(       0.001&lt;0.1,"*","NS")))</f>
        <v>***</v>
      </c>
      <c r="G8" s="296" t="s">
        <v>1423</v>
      </c>
      <c r="H8" s="4">
        <v>93.334587090932573</v>
      </c>
      <c r="I8" s="4">
        <v>85.878545011467338</v>
      </c>
      <c r="J8" s="4">
        <v>-7.4560420794653179</v>
      </c>
      <c r="K8" s="3603" t="str">
        <f>IF(       0.001&lt;0.01,"***",IF(       0.001&lt;0.05,"**",IF(       0.001&lt;0.1,"*","NS")))</f>
        <v>***</v>
      </c>
      <c r="L8" s="4">
        <v>85.37669831654506</v>
      </c>
      <c r="M8" s="4">
        <v>-7.9578887743875564</v>
      </c>
      <c r="N8" s="3604" t="str">
        <f>IF(       0.012&lt;0.01,"***",IF(       0.012&lt;0.05,"**",IF(       0.012&lt;0.1,"*","NS")))</f>
        <v>**</v>
      </c>
      <c r="P8" s="296" t="s">
        <v>1542</v>
      </c>
      <c r="Q8" s="4">
        <v>91.246465681678501</v>
      </c>
      <c r="R8" s="4">
        <v>85.37669831654506</v>
      </c>
      <c r="S8" s="4">
        <v>-5.869767365133324</v>
      </c>
      <c r="T8" s="3605" t="str">
        <f>IF(       0.033&lt;0.01,"***",IF(       0.033&lt;0.05,"**",IF(       0.033&lt;0.1,"*","NS")))</f>
        <v>**</v>
      </c>
    </row>
    <row r="9" spans="1:20" x14ac:dyDescent="0.2">
      <c r="A9" s="296" t="s">
        <v>1320</v>
      </c>
      <c r="B9" s="4">
        <v>99.008575144320986</v>
      </c>
      <c r="C9" s="4">
        <v>99.611181402231097</v>
      </c>
      <c r="D9" s="4">
        <v>0.60260625791010558</v>
      </c>
      <c r="E9" s="3606" t="str">
        <f>IF(       0.266&lt;0.01,"***",IF(       0.266&lt;0.05,"**",IF(       0.266&lt;0.1,"*","NS")))</f>
        <v>NS</v>
      </c>
      <c r="G9" s="296" t="s">
        <v>1424</v>
      </c>
      <c r="H9" s="4">
        <v>99.008575144320986</v>
      </c>
      <c r="I9" s="4">
        <v>99.527243804756594</v>
      </c>
      <c r="J9" s="4">
        <v>0.51866866043561033</v>
      </c>
      <c r="K9" s="3607" t="str">
        <f>IF(       0.351&lt;0.01,"***",IF(       0.351&lt;0.05,"**",IF(       0.351&lt;0.1,"*","NS")))</f>
        <v>NS</v>
      </c>
      <c r="L9" s="4">
        <v>100</v>
      </c>
      <c r="M9" s="4">
        <v>0.99142485567904359</v>
      </c>
      <c r="N9" s="3608" t="str">
        <f>IF(       0.066&lt;0.01,"***",IF(       0.066&lt;0.05,"**",IF(       0.066&lt;0.1,"*","NS")))</f>
        <v>*</v>
      </c>
      <c r="P9" s="296" t="s">
        <v>1543</v>
      </c>
      <c r="Q9" s="4">
        <v>99.085479844365679</v>
      </c>
      <c r="R9" s="4">
        <v>100</v>
      </c>
      <c r="S9" s="4">
        <v>0.91452015563435007</v>
      </c>
      <c r="T9" s="3609" t="str">
        <f>IF(       0.052&lt;0.01,"***",IF(       0.052&lt;0.05,"**",IF(       0.052&lt;0.1,"*","NS")))</f>
        <v>*</v>
      </c>
    </row>
    <row r="10" spans="1:20" x14ac:dyDescent="0.2">
      <c r="A10" s="296" t="s">
        <v>1321</v>
      </c>
      <c r="B10" s="4">
        <v>88.96986422320137</v>
      </c>
      <c r="C10" s="4">
        <v>90.340918767958243</v>
      </c>
      <c r="D10" s="4">
        <v>1.3710545447568951</v>
      </c>
      <c r="E10" s="3610" t="str">
        <f>IF(       0.528&lt;0.01,"***",IF(       0.528&lt;0.05,"**",IF(       0.528&lt;0.1,"*","NS")))</f>
        <v>NS</v>
      </c>
      <c r="G10" s="296" t="s">
        <v>1425</v>
      </c>
      <c r="H10" s="4">
        <v>88.96986422320137</v>
      </c>
      <c r="I10" s="4">
        <v>91.179813010334954</v>
      </c>
      <c r="J10" s="4">
        <v>2.2099487871336136</v>
      </c>
      <c r="K10" s="3611" t="str">
        <f>IF(       0.297&lt;0.01,"***",IF(       0.297&lt;0.05,"**",IF(       0.297&lt;0.1,"*","NS")))</f>
        <v>NS</v>
      </c>
      <c r="L10" s="4">
        <v>87.595936900437437</v>
      </c>
      <c r="M10" s="4">
        <v>-1.3739273227639281</v>
      </c>
      <c r="N10" s="3612" t="str">
        <f>IF(       0.74&lt;0.01,"***",IF(       0.74&lt;0.05,"**",IF(       0.74&lt;0.1,"*","NS")))</f>
        <v>NS</v>
      </c>
      <c r="P10" s="296" t="s">
        <v>1544</v>
      </c>
      <c r="Q10" s="4">
        <v>89.378965433312828</v>
      </c>
      <c r="R10" s="4">
        <v>87.595936900437437</v>
      </c>
      <c r="S10" s="4">
        <v>-1.7830285328753965</v>
      </c>
      <c r="T10" s="3613" t="str">
        <f>IF(       0.658&lt;0.01,"***",IF(       0.658&lt;0.05,"**",IF(       0.658&lt;0.1,"*","NS")))</f>
        <v>NS</v>
      </c>
    </row>
    <row r="11" spans="1:20" x14ac:dyDescent="0.2">
      <c r="A11" s="296" t="s">
        <v>1322</v>
      </c>
      <c r="B11" s="4">
        <v>63.800785467775789</v>
      </c>
      <c r="C11" s="4">
        <v>62.704792520289921</v>
      </c>
      <c r="D11" s="4">
        <v>-1.0959929474858781</v>
      </c>
      <c r="E11" s="3614" t="str">
        <f>IF(       0.706&lt;0.01,"***",IF(       0.706&lt;0.05,"**",IF(       0.706&lt;0.1,"*","NS")))</f>
        <v>NS</v>
      </c>
      <c r="G11" s="296" t="s">
        <v>1426</v>
      </c>
      <c r="H11" s="4">
        <v>63.800785467775789</v>
      </c>
      <c r="I11" s="4">
        <v>61.729777651726501</v>
      </c>
      <c r="J11" s="4">
        <v>-2.0710078160492977</v>
      </c>
      <c r="K11" s="3615" t="str">
        <f>IF(       0.485&lt;0.01,"***",IF(       0.485&lt;0.05,"**",IF(       0.485&lt;0.1,"*","NS")))</f>
        <v>NS</v>
      </c>
      <c r="L11" s="4">
        <v>64.261619875915997</v>
      </c>
      <c r="M11" s="4">
        <v>0.4608344081402016</v>
      </c>
      <c r="N11" s="3616" t="str">
        <f>IF(       0.913&lt;0.01,"***",IF(       0.913&lt;0.05,"**",IF(       0.913&lt;0.1,"*","NS")))</f>
        <v>NS</v>
      </c>
      <c r="P11" s="296" t="s">
        <v>1545</v>
      </c>
      <c r="Q11" s="4">
        <v>63.097026522768168</v>
      </c>
      <c r="R11" s="4">
        <v>64.261619875915997</v>
      </c>
      <c r="S11" s="4">
        <v>1.1645933531478596</v>
      </c>
      <c r="T11" s="3617" t="str">
        <f>IF(       0.768&lt;0.01,"***",IF(       0.768&lt;0.05,"**",IF(       0.768&lt;0.1,"*","NS")))</f>
        <v>NS</v>
      </c>
    </row>
    <row r="12" spans="1:20" x14ac:dyDescent="0.2">
      <c r="A12" s="296" t="s">
        <v>1323</v>
      </c>
      <c r="B12" s="4">
        <v>86.732819168421415</v>
      </c>
      <c r="C12" s="4">
        <v>83.504785234788116</v>
      </c>
      <c r="D12" s="4">
        <v>-3.2280339336332693</v>
      </c>
      <c r="E12" s="3618" t="str">
        <f>IF(       0.033&lt;0.01,"***",IF(       0.033&lt;0.05,"**",IF(       0.033&lt;0.1,"*","NS")))</f>
        <v>**</v>
      </c>
      <c r="G12" s="296" t="s">
        <v>1427</v>
      </c>
      <c r="H12" s="4">
        <v>86.732819168421415</v>
      </c>
      <c r="I12" s="4">
        <v>84.942554330850086</v>
      </c>
      <c r="J12" s="4">
        <v>-1.7902648375713393</v>
      </c>
      <c r="K12" s="3619" t="str">
        <f>IF(       0.255&lt;0.01,"***",IF(       0.255&lt;0.05,"**",IF(       0.255&lt;0.1,"*","NS")))</f>
        <v>NS</v>
      </c>
      <c r="L12" s="4">
        <v>78.831993887103835</v>
      </c>
      <c r="M12" s="4">
        <v>-7.9008252813176192</v>
      </c>
      <c r="N12" s="3620" t="str">
        <f>IF(       0.003&lt;0.01,"***",IF(       0.003&lt;0.05,"**",IF(       0.003&lt;0.1,"*","NS")))</f>
        <v>***</v>
      </c>
      <c r="P12" s="296" t="s">
        <v>1546</v>
      </c>
      <c r="Q12" s="4">
        <v>86.041873351768487</v>
      </c>
      <c r="R12" s="4">
        <v>78.831993887103835</v>
      </c>
      <c r="S12" s="4">
        <v>-7.2098794646646729</v>
      </c>
      <c r="T12" s="3621" t="str">
        <f>IF(       0.005&lt;0.01,"***",IF(       0.005&lt;0.05,"**",IF(       0.005&lt;0.1,"*","NS")))</f>
        <v>***</v>
      </c>
    </row>
    <row r="13" spans="1:20" x14ac:dyDescent="0.2">
      <c r="A13" s="296" t="s">
        <v>1324</v>
      </c>
      <c r="B13" s="4">
        <v>72.444248036829279</v>
      </c>
      <c r="C13" s="4">
        <v>68.458716905096097</v>
      </c>
      <c r="D13" s="4">
        <v>-3.9855311317332207</v>
      </c>
      <c r="E13" s="3622" t="str">
        <f>IF(       0.105&lt;0.01,"***",IF(       0.105&lt;0.05,"**",IF(       0.105&lt;0.1,"*","NS")))</f>
        <v>NS</v>
      </c>
      <c r="G13" s="296" t="s">
        <v>1428</v>
      </c>
      <c r="H13" s="4">
        <v>72.444248036829279</v>
      </c>
      <c r="I13" s="4">
        <v>68.963852934212326</v>
      </c>
      <c r="J13" s="4">
        <v>-3.4803951026169395</v>
      </c>
      <c r="K13" s="3623" t="str">
        <f>IF(       0.19&lt;0.01,"***",IF(       0.19&lt;0.05,"**",IF(       0.19&lt;0.1,"*","NS")))</f>
        <v>NS</v>
      </c>
      <c r="L13" s="4">
        <v>67.093440229356077</v>
      </c>
      <c r="M13" s="4">
        <v>-5.3508078074732364</v>
      </c>
      <c r="N13" s="3624" t="str">
        <f>IF(       0.134&lt;0.01,"***",IF(       0.134&lt;0.05,"**",IF(       0.134&lt;0.1,"*","NS")))</f>
        <v>NS</v>
      </c>
      <c r="P13" s="296" t="s">
        <v>1547</v>
      </c>
      <c r="Q13" s="4">
        <v>71.611467544931756</v>
      </c>
      <c r="R13" s="4">
        <v>67.093440229356077</v>
      </c>
      <c r="S13" s="4">
        <v>-4.5180273155756678</v>
      </c>
      <c r="T13" s="3625" t="str">
        <f>IF(       0.183&lt;0.01,"***",IF(       0.183&lt;0.05,"**",IF(       0.183&lt;0.1,"*","NS")))</f>
        <v>NS</v>
      </c>
    </row>
    <row r="14" spans="1:20" x14ac:dyDescent="0.2">
      <c r="A14" s="296" t="s">
        <v>1325</v>
      </c>
      <c r="B14" s="4">
        <v>75.097083743312297</v>
      </c>
      <c r="C14" s="4">
        <v>61.12900979893481</v>
      </c>
      <c r="D14" s="4">
        <v>-13.968073944377894</v>
      </c>
      <c r="E14" s="3626" t="str">
        <f>IF(       0&lt;0.01,"***",IF(       0&lt;0.05,"**",IF(       0&lt;0.1,"*","NS")))</f>
        <v>***</v>
      </c>
      <c r="G14" s="296" t="s">
        <v>1429</v>
      </c>
      <c r="H14" s="4">
        <v>75.097083743312297</v>
      </c>
      <c r="I14" s="4">
        <v>63.196300120998252</v>
      </c>
      <c r="J14" s="4">
        <v>-11.900783622313677</v>
      </c>
      <c r="K14" s="3627" t="str">
        <f>IF(       0&lt;0.01,"***",IF(       0&lt;0.05,"**",IF(       0&lt;0.1,"*","NS")))</f>
        <v>***</v>
      </c>
      <c r="L14" s="4">
        <v>55.038642525147658</v>
      </c>
      <c r="M14" s="4">
        <v>-20.058441218164262</v>
      </c>
      <c r="N14" s="3628" t="str">
        <f>IF(       0.001&lt;0.01,"***",IF(       0.001&lt;0.05,"**",IF(       0.001&lt;0.1,"*","NS")))</f>
        <v>***</v>
      </c>
      <c r="P14" s="296" t="s">
        <v>1548</v>
      </c>
      <c r="Q14" s="4">
        <v>72.514477363787577</v>
      </c>
      <c r="R14" s="4">
        <v>55.038642525147658</v>
      </c>
      <c r="S14" s="4">
        <v>-17.475834838640107</v>
      </c>
      <c r="T14" s="3629" t="str">
        <f>IF(       0.001&lt;0.01,"***",IF(       0.001&lt;0.05,"**",IF(       0.001&lt;0.1,"*","NS")))</f>
        <v>***</v>
      </c>
    </row>
    <row r="15" spans="1:20" x14ac:dyDescent="0.2">
      <c r="A15" s="296" t="s">
        <v>1326</v>
      </c>
      <c r="B15" s="4">
        <v>94.846055228851071</v>
      </c>
      <c r="C15" s="4">
        <v>96.14588334017327</v>
      </c>
      <c r="D15" s="4">
        <v>1.2998281113221464</v>
      </c>
      <c r="E15" s="3630" t="str">
        <f>IF(       0.104&lt;0.01,"***",IF(       0.104&lt;0.05,"**",IF(       0.104&lt;0.1,"*","NS")))</f>
        <v>NS</v>
      </c>
      <c r="G15" s="296" t="s">
        <v>1430</v>
      </c>
      <c r="H15" s="4">
        <v>94.846055228851071</v>
      </c>
      <c r="I15" s="4">
        <v>96.055774366455367</v>
      </c>
      <c r="J15" s="4">
        <v>1.2097191376043219</v>
      </c>
      <c r="K15" s="3631" t="str">
        <f>IF(       0.169&lt;0.01,"***",IF(       0.169&lt;0.05,"**",IF(       0.169&lt;0.1,"*","NS")))</f>
        <v>NS</v>
      </c>
      <c r="L15" s="4">
        <v>96.422111697605217</v>
      </c>
      <c r="M15" s="4">
        <v>1.5760564687541709</v>
      </c>
      <c r="N15" s="3632" t="str">
        <f>IF(       0.089&lt;0.01,"***",IF(       0.089&lt;0.05,"**",IF(       0.089&lt;0.1,"*","NS")))</f>
        <v>*</v>
      </c>
      <c r="P15" s="296" t="s">
        <v>1549</v>
      </c>
      <c r="Q15" s="4">
        <v>95.118228561501979</v>
      </c>
      <c r="R15" s="4">
        <v>96.422111697605217</v>
      </c>
      <c r="S15" s="4">
        <v>1.3038831361032293</v>
      </c>
      <c r="T15" s="3633" t="str">
        <f>IF(       0.121&lt;0.01,"***",IF(       0.121&lt;0.05,"**",IF(       0.121&lt;0.1,"*","NS")))</f>
        <v>NS</v>
      </c>
    </row>
    <row r="16" spans="1:20" x14ac:dyDescent="0.2">
      <c r="A16" s="296" t="s">
        <v>1327</v>
      </c>
      <c r="B16" s="4">
        <v>66.203898416937236</v>
      </c>
      <c r="C16" s="4">
        <v>59.29079656961796</v>
      </c>
      <c r="D16" s="4">
        <v>-6.9131018473191554</v>
      </c>
      <c r="E16" s="3634" t="str">
        <f>IF(       0.002&lt;0.01,"***",IF(       0.002&lt;0.05,"**",IF(       0.002&lt;0.1,"*","NS")))</f>
        <v>***</v>
      </c>
      <c r="G16" s="296" t="s">
        <v>1431</v>
      </c>
      <c r="H16" s="4">
        <v>66.203898416937236</v>
      </c>
      <c r="I16" s="4">
        <v>61.33273073728764</v>
      </c>
      <c r="J16" s="4">
        <v>-4.8711676796496937</v>
      </c>
      <c r="K16" s="3635" t="str">
        <f>IF(       0.048&lt;0.01,"***",IF(       0.048&lt;0.05,"**",IF(       0.048&lt;0.1,"*","NS")))</f>
        <v>**</v>
      </c>
      <c r="L16" s="4">
        <v>54.770802948885439</v>
      </c>
      <c r="M16" s="4">
        <v>-11.43309546805183</v>
      </c>
      <c r="N16" s="3636" t="str">
        <f>IF(       0.001&lt;0.01,"***",IF(       0.001&lt;0.05,"**",IF(       0.001&lt;0.1,"*","NS")))</f>
        <v>***</v>
      </c>
      <c r="P16" s="296" t="s">
        <v>1550</v>
      </c>
      <c r="Q16" s="4">
        <v>64.596772724518843</v>
      </c>
      <c r="R16" s="4">
        <v>54.770802948885439</v>
      </c>
      <c r="S16" s="4">
        <v>-9.8259697756333129</v>
      </c>
      <c r="T16" s="3637" t="str">
        <f>IF(       0.003&lt;0.01,"***",IF(       0.003&lt;0.05,"**",IF(       0.003&lt;0.1,"*","NS")))</f>
        <v>***</v>
      </c>
    </row>
    <row r="17" spans="1:20" x14ac:dyDescent="0.2">
      <c r="A17" s="296" t="s">
        <v>1328</v>
      </c>
      <c r="B17" s="4">
        <v>85.455867785683623</v>
      </c>
      <c r="C17" s="4">
        <v>86.34247077329924</v>
      </c>
      <c r="D17" s="4">
        <v>0.88660298761560385</v>
      </c>
      <c r="E17" s="3638" t="str">
        <f>IF(       0.747&lt;0.01,"***",IF(       0.747&lt;0.05,"**",IF(       0.747&lt;0.1,"*","NS")))</f>
        <v>NS</v>
      </c>
      <c r="G17" s="296" t="s">
        <v>1432</v>
      </c>
      <c r="H17" s="4">
        <v>85.455867785683623</v>
      </c>
      <c r="I17" s="4">
        <v>85.500919418646319</v>
      </c>
      <c r="J17" s="4">
        <v>4.5051632962680797E-2</v>
      </c>
      <c r="K17" s="3639" t="str">
        <f>IF(       0.988&lt;0.01,"***",IF(       0.988&lt;0.05,"**",IF(       0.988&lt;0.1,"*","NS")))</f>
        <v>NS</v>
      </c>
      <c r="L17" s="4">
        <v>89.005383385127288</v>
      </c>
      <c r="M17" s="4">
        <v>3.5495155994435823</v>
      </c>
      <c r="N17" s="3640" t="str">
        <f>IF(       0.246&lt;0.01,"***",IF(       0.246&lt;0.05,"**",IF(       0.246&lt;0.1,"*","NS")))</f>
        <v>NS</v>
      </c>
      <c r="P17" s="296" t="s">
        <v>1551</v>
      </c>
      <c r="Q17" s="4">
        <v>85.467578562866237</v>
      </c>
      <c r="R17" s="4">
        <v>89.005383385127288</v>
      </c>
      <c r="S17" s="4">
        <v>3.5378048222610561</v>
      </c>
      <c r="T17" s="3641" t="str">
        <f>IF(       0.213&lt;0.01,"***",IF(       0.213&lt;0.05,"**",IF(       0.213&lt;0.1,"*","NS")))</f>
        <v>NS</v>
      </c>
    </row>
    <row r="18" spans="1:20" x14ac:dyDescent="0.2">
      <c r="A18" s="296" t="s">
        <v>5835</v>
      </c>
      <c r="B18" s="4">
        <v>80.498502381546061</v>
      </c>
      <c r="C18" s="4">
        <v>74.883915215565892</v>
      </c>
      <c r="D18" s="4">
        <v>-5.6145871659800237</v>
      </c>
      <c r="E18" s="3642" t="str">
        <f>IF(       0&lt;0.01,"***",IF(       0&lt;0.05,"**",IF(       0&lt;0.1,"*","NS")))</f>
        <v>***</v>
      </c>
      <c r="G18" s="296" t="s">
        <v>5835</v>
      </c>
      <c r="H18" s="4">
        <v>80.498502381546061</v>
      </c>
      <c r="I18" s="4">
        <v>75.922977327903396</v>
      </c>
      <c r="J18" s="4">
        <v>-4.5755250536426493</v>
      </c>
      <c r="K18" s="3643" t="str">
        <f>IF(       0&lt;0.01,"***",IF(       0&lt;0.05,"**",IF(       0&lt;0.1,"*","NS")))</f>
        <v>***</v>
      </c>
      <c r="L18" s="4">
        <v>71.830371552988808</v>
      </c>
      <c r="M18" s="4">
        <v>-8.6681308285574108</v>
      </c>
      <c r="N18" s="3644" t="str">
        <f>IF(       0&lt;0.01,"***",IF(       0&lt;0.05,"**",IF(       0&lt;0.1,"*","NS")))</f>
        <v>***</v>
      </c>
      <c r="P18" s="296" t="s">
        <v>5835</v>
      </c>
      <c r="Q18" s="4">
        <v>79.276302601464366</v>
      </c>
      <c r="R18" s="4">
        <v>71.830371552988808</v>
      </c>
      <c r="S18" s="4">
        <v>-7.4459310484753818</v>
      </c>
      <c r="T18" s="3645" t="str">
        <f>IF(       0&lt;0.01,"***",IF(       0&lt;0.05,"**",IF(       0&lt;0.1,"*","NS")))</f>
        <v>***</v>
      </c>
    </row>
    <row r="20" spans="1:20" x14ac:dyDescent="0.2">
      <c r="A20" s="296" t="s">
        <v>1329</v>
      </c>
      <c r="G20" s="296" t="s">
        <v>1433</v>
      </c>
      <c r="P20" s="296" t="s">
        <v>1552</v>
      </c>
    </row>
    <row r="21" spans="1:20" s="3" customFormat="1" x14ac:dyDescent="0.2">
      <c r="A21" s="6144" t="s">
        <v>1330</v>
      </c>
      <c r="B21" s="6145" t="s">
        <v>1331</v>
      </c>
      <c r="C21" s="6146" t="s">
        <v>1332</v>
      </c>
      <c r="D21" s="6147" t="s">
        <v>1333</v>
      </c>
      <c r="E21" s="6148" t="s">
        <v>1334</v>
      </c>
      <c r="G21" s="6149" t="s">
        <v>1434</v>
      </c>
      <c r="H21" s="6150" t="s">
        <v>1435</v>
      </c>
      <c r="I21" s="6151" t="s">
        <v>1436</v>
      </c>
      <c r="J21" s="6152" t="s">
        <v>1437</v>
      </c>
      <c r="K21" s="6153" t="s">
        <v>1438</v>
      </c>
      <c r="L21" s="6154" t="s">
        <v>1519</v>
      </c>
      <c r="M21" s="6155" t="s">
        <v>1520</v>
      </c>
      <c r="N21" s="6156" t="s">
        <v>1521</v>
      </c>
      <c r="P21" s="6157" t="s">
        <v>1553</v>
      </c>
      <c r="Q21" s="6158" t="s">
        <v>1554</v>
      </c>
      <c r="R21" s="6159" t="s">
        <v>1555</v>
      </c>
      <c r="S21" s="6160" t="s">
        <v>1556</v>
      </c>
      <c r="T21" s="6161" t="s">
        <v>1557</v>
      </c>
    </row>
    <row r="22" spans="1:20" x14ac:dyDescent="0.2">
      <c r="A22" s="296" t="s">
        <v>1335</v>
      </c>
      <c r="B22" s="4">
        <v>81.906671250987728</v>
      </c>
      <c r="C22" s="4">
        <v>80.933276598571013</v>
      </c>
      <c r="D22" s="4">
        <v>-0.97339465241670253</v>
      </c>
      <c r="E22" s="3646" t="str">
        <f>IF(       0.704&lt;0.01,"***",IF(       0.704&lt;0.05,"**",IF(       0.704&lt;0.1,"*","NS")))</f>
        <v>NS</v>
      </c>
      <c r="G22" s="296" t="s">
        <v>1439</v>
      </c>
      <c r="H22" s="4">
        <v>81.906671250987728</v>
      </c>
      <c r="I22" s="4">
        <v>80.7908210461691</v>
      </c>
      <c r="J22" s="4">
        <v>-1.1158502048186276</v>
      </c>
      <c r="K22" s="3647" t="str">
        <f>IF(       0.624&lt;0.01,"***",IF(       0.624&lt;0.05,"**",IF(       0.624&lt;0.1,"*","NS")))</f>
        <v>NS</v>
      </c>
      <c r="L22" s="4">
        <v>81.423447536200854</v>
      </c>
      <c r="M22" s="4">
        <v>-0.48322371478687448</v>
      </c>
      <c r="N22" s="3648" t="str">
        <f>IF(       0.922&lt;0.01,"***",IF(       0.922&lt;0.05,"**",IF(       0.922&lt;0.1,"*","NS")))</f>
        <v>NS</v>
      </c>
      <c r="P22" s="296" t="s">
        <v>1558</v>
      </c>
      <c r="Q22" s="4">
        <v>81.487328236524505</v>
      </c>
      <c r="R22" s="4">
        <v>81.423447536200854</v>
      </c>
      <c r="S22" s="4">
        <v>-6.3880700323645775E-2</v>
      </c>
      <c r="T22" s="3649" t="str">
        <f>IF(       0.989&lt;0.01,"***",IF(       0.989&lt;0.05,"**",IF(       0.989&lt;0.1,"*","NS")))</f>
        <v>NS</v>
      </c>
    </row>
    <row r="23" spans="1:20" x14ac:dyDescent="0.2">
      <c r="A23" s="296" t="s">
        <v>1336</v>
      </c>
      <c r="B23" s="4">
        <v>53.297902341641652</v>
      </c>
      <c r="C23" s="4">
        <v>51.497059275154513</v>
      </c>
      <c r="D23" s="4">
        <v>-1.8008430664871289</v>
      </c>
      <c r="E23" s="3650" t="str">
        <f>IF(       0.608&lt;0.01,"***",IF(       0.608&lt;0.05,"**",IF(       0.608&lt;0.1,"*","NS")))</f>
        <v>NS</v>
      </c>
      <c r="G23" s="296" t="s">
        <v>1440</v>
      </c>
      <c r="H23" s="4">
        <v>53.297902341641652</v>
      </c>
      <c r="I23" s="4">
        <v>51.181279786097399</v>
      </c>
      <c r="J23" s="4">
        <v>-2.1166225555442333</v>
      </c>
      <c r="K23" s="3651" t="str">
        <f>IF(       0.575&lt;0.01,"***",IF(       0.575&lt;0.05,"**",IF(       0.575&lt;0.1,"*","NS")))</f>
        <v>NS</v>
      </c>
      <c r="L23" s="4">
        <v>52.310036800922028</v>
      </c>
      <c r="M23" s="4">
        <v>-0.98786554071959531</v>
      </c>
      <c r="N23" s="3652" t="str">
        <f>IF(       0.828&lt;0.01,"***",IF(       0.828&lt;0.05,"**",IF(       0.828&lt;0.1,"*","NS")))</f>
        <v>NS</v>
      </c>
      <c r="P23" s="296" t="s">
        <v>1559</v>
      </c>
      <c r="Q23" s="4">
        <v>52.595055663824077</v>
      </c>
      <c r="R23" s="4">
        <v>52.310036800922028</v>
      </c>
      <c r="S23" s="4">
        <v>-0.28501886290204836</v>
      </c>
      <c r="T23" s="3653" t="str">
        <f>IF(       0.945&lt;0.01,"***",IF(       0.945&lt;0.05,"**",IF(       0.945&lt;0.1,"*","NS")))</f>
        <v>NS</v>
      </c>
    </row>
    <row r="24" spans="1:20" x14ac:dyDescent="0.2">
      <c r="A24" s="296" t="s">
        <v>1337</v>
      </c>
      <c r="B24" s="4">
        <v>86.612796642626549</v>
      </c>
      <c r="C24" s="4">
        <v>83.988301504222633</v>
      </c>
      <c r="D24" s="4">
        <v>-2.6244951384039377</v>
      </c>
      <c r="E24" s="3654" t="str">
        <f>IF(       0.407&lt;0.01,"***",IF(       0.407&lt;0.05,"**",IF(       0.407&lt;0.1,"*","NS")))</f>
        <v>NS</v>
      </c>
      <c r="G24" s="296" t="s">
        <v>1441</v>
      </c>
      <c r="H24" s="4">
        <v>86.612796642626549</v>
      </c>
      <c r="I24" s="4">
        <v>86.256329887572903</v>
      </c>
      <c r="J24" s="4">
        <v>-0.35646675505364839</v>
      </c>
      <c r="K24" s="3655" t="str">
        <f>IF(       0.906&lt;0.01,"***",IF(       0.906&lt;0.05,"**",IF(       0.906&lt;0.1,"*","NS")))</f>
        <v>NS</v>
      </c>
      <c r="L24" s="4">
        <v>77.925669359114366</v>
      </c>
      <c r="M24" s="4">
        <v>-8.6871272835122522</v>
      </c>
      <c r="N24" s="3656" t="str">
        <f>IF(       0.06&lt;0.01,"***",IF(       0.06&lt;0.05,"**",IF(       0.06&lt;0.1,"*","NS")))</f>
        <v>*</v>
      </c>
      <c r="P24" s="296" t="s">
        <v>1560</v>
      </c>
      <c r="Q24" s="4">
        <v>86.528544966970628</v>
      </c>
      <c r="R24" s="4">
        <v>77.925669359114366</v>
      </c>
      <c r="S24" s="4">
        <v>-8.6028756078563227</v>
      </c>
      <c r="T24" s="3657" t="str">
        <f>IF(       0.042&lt;0.01,"***",IF(       0.042&lt;0.05,"**",IF(       0.042&lt;0.1,"*","NS")))</f>
        <v>**</v>
      </c>
    </row>
    <row r="25" spans="1:20" x14ac:dyDescent="0.2">
      <c r="A25" s="296" t="s">
        <v>1338</v>
      </c>
      <c r="B25" s="4">
        <v>95.130818319508165</v>
      </c>
      <c r="C25" s="4">
        <v>94.783657840918906</v>
      </c>
      <c r="D25" s="4">
        <v>-0.34716047858926086</v>
      </c>
      <c r="E25" s="3658" t="str">
        <f>IF(       0.756&lt;0.01,"***",IF(       0.756&lt;0.05,"**",IF(       0.756&lt;0.1,"*","NS")))</f>
        <v>NS</v>
      </c>
      <c r="G25" s="296" t="s">
        <v>1442</v>
      </c>
      <c r="H25" s="4">
        <v>95.130818319508165</v>
      </c>
      <c r="I25" s="4">
        <v>95.423197860724244</v>
      </c>
      <c r="J25" s="4">
        <v>0.29237954121608029</v>
      </c>
      <c r="K25" s="3659" t="str">
        <f>IF(       0.711&lt;0.01,"***",IF(       0.711&lt;0.05,"**",IF(       0.711&lt;0.1,"*","NS")))</f>
        <v>NS</v>
      </c>
      <c r="L25" s="4">
        <v>92.534757520322074</v>
      </c>
      <c r="M25" s="4">
        <v>-2.5960607991860867</v>
      </c>
      <c r="N25" s="3660" t="str">
        <f>IF(       0.378&lt;0.01,"***",IF(       0.378&lt;0.05,"**",IF(       0.378&lt;0.1,"*","NS")))</f>
        <v>NS</v>
      </c>
      <c r="P25" s="296" t="s">
        <v>1561</v>
      </c>
      <c r="Q25" s="4">
        <v>95.219907712993773</v>
      </c>
      <c r="R25" s="4">
        <v>92.534757520322074</v>
      </c>
      <c r="S25" s="4">
        <v>-2.6851501926716992</v>
      </c>
      <c r="T25" s="3661" t="str">
        <f>IF(       0.341&lt;0.01,"***",IF(       0.341&lt;0.05,"**",IF(       0.341&lt;0.1,"*","NS")))</f>
        <v>NS</v>
      </c>
    </row>
    <row r="26" spans="1:20" x14ac:dyDescent="0.2">
      <c r="A26" s="296" t="s">
        <v>1339</v>
      </c>
      <c r="B26" s="4">
        <v>80.083875341695546</v>
      </c>
      <c r="C26" s="4">
        <v>75.636088864238559</v>
      </c>
      <c r="D26" s="4">
        <v>-4.447786477456952</v>
      </c>
      <c r="E26" s="3662" t="str">
        <f>IF(       0.134&lt;0.01,"***",IF(       0.134&lt;0.05,"**",IF(       0.134&lt;0.1,"*","NS")))</f>
        <v>NS</v>
      </c>
      <c r="G26" s="296" t="s">
        <v>1443</v>
      </c>
      <c r="H26" s="4">
        <v>80.083875341695546</v>
      </c>
      <c r="I26" s="4">
        <v>76.265179514829086</v>
      </c>
      <c r="J26" s="4">
        <v>-3.8186958268665148</v>
      </c>
      <c r="K26" s="3663" t="str">
        <f>IF(       0.214&lt;0.01,"***",IF(       0.214&lt;0.05,"**",IF(       0.214&lt;0.1,"*","NS")))</f>
        <v>NS</v>
      </c>
      <c r="L26" s="4">
        <v>72.85328076891075</v>
      </c>
      <c r="M26" s="4">
        <v>-7.2305945727847742</v>
      </c>
      <c r="N26" s="3664" t="str">
        <f>IF(       0.233&lt;0.01,"***",IF(       0.233&lt;0.05,"**",IF(       0.233&lt;0.1,"*","NS")))</f>
        <v>NS</v>
      </c>
      <c r="P26" s="296" t="s">
        <v>1562</v>
      </c>
      <c r="Q26" s="4">
        <v>79.062318820557067</v>
      </c>
      <c r="R26" s="4">
        <v>72.85328076891075</v>
      </c>
      <c r="S26" s="4">
        <v>-6.2090380516461963</v>
      </c>
      <c r="T26" s="3665" t="str">
        <f>IF(       0.295&lt;0.01,"***",IF(       0.295&lt;0.05,"**",IF(       0.295&lt;0.1,"*","NS")))</f>
        <v>NS</v>
      </c>
    </row>
    <row r="27" spans="1:20" x14ac:dyDescent="0.2">
      <c r="A27" s="296" t="s">
        <v>1340</v>
      </c>
      <c r="B27" s="4">
        <v>93.871764069693171</v>
      </c>
      <c r="C27" s="4">
        <v>87.911620544643299</v>
      </c>
      <c r="D27" s="4">
        <v>-5.960143525049884</v>
      </c>
      <c r="E27" s="3666" t="str">
        <f>IF(       0.004&lt;0.01,"***",IF(       0.004&lt;0.05,"**",IF(       0.004&lt;0.1,"*","NS")))</f>
        <v>***</v>
      </c>
      <c r="G27" s="296" t="s">
        <v>1444</v>
      </c>
      <c r="H27" s="4">
        <v>93.871764069693171</v>
      </c>
      <c r="I27" s="4">
        <v>88.368233755537261</v>
      </c>
      <c r="J27" s="4">
        <v>-5.5035303141559462</v>
      </c>
      <c r="K27" s="3667" t="str">
        <f>IF(       0.003&lt;0.01,"***",IF(       0.003&lt;0.05,"**",IF(       0.003&lt;0.1,"*","NS")))</f>
        <v>***</v>
      </c>
      <c r="L27" s="4">
        <v>86.586409919172766</v>
      </c>
      <c r="M27" s="4">
        <v>-7.285354150520404</v>
      </c>
      <c r="N27" s="3668" t="str">
        <f>IF(       0.043&lt;0.01,"***",IF(       0.043&lt;0.05,"**",IF(       0.043&lt;0.1,"*","NS")))</f>
        <v>**</v>
      </c>
      <c r="P27" s="296" t="s">
        <v>1563</v>
      </c>
      <c r="Q27" s="4">
        <v>92.275823182139916</v>
      </c>
      <c r="R27" s="4">
        <v>86.586409919172766</v>
      </c>
      <c r="S27" s="4">
        <v>-5.6894132629672436</v>
      </c>
      <c r="T27" s="3669" t="str">
        <f>IF(       0.088&lt;0.01,"***",IF(       0.088&lt;0.05,"**",IF(       0.088&lt;0.1,"*","NS")))</f>
        <v>*</v>
      </c>
    </row>
    <row r="28" spans="1:20" x14ac:dyDescent="0.2">
      <c r="A28" s="296" t="s">
        <v>1341</v>
      </c>
      <c r="B28" s="4">
        <v>99.248365561822084</v>
      </c>
      <c r="C28" s="4">
        <v>99.638508089378206</v>
      </c>
      <c r="D28" s="4">
        <v>0.39014252755613316</v>
      </c>
      <c r="E28" s="3670" t="str">
        <f>IF(       0.419&lt;0.01,"***",IF(       0.419&lt;0.05,"**",IF(       0.419&lt;0.1,"*","NS")))</f>
        <v>NS</v>
      </c>
      <c r="G28" s="296" t="s">
        <v>1445</v>
      </c>
      <c r="H28" s="4">
        <v>99.248365561822084</v>
      </c>
      <c r="I28" s="4">
        <v>99.554139568709772</v>
      </c>
      <c r="J28" s="4">
        <v>0.30577400688769046</v>
      </c>
      <c r="K28" s="3671" t="str">
        <f>IF(       0.552&lt;0.01,"***",IF(       0.552&lt;0.05,"**",IF(       0.552&lt;0.1,"*","NS")))</f>
        <v>NS</v>
      </c>
      <c r="L28" s="4">
        <v>100</v>
      </c>
      <c r="M28" s="4">
        <v>0.75163443817792785</v>
      </c>
      <c r="N28" s="3672" t="str">
        <f>IF(       0.075&lt;0.01,"***",IF(       0.075&lt;0.05,"**",IF(       0.075&lt;0.1,"*","NS")))</f>
        <v>*</v>
      </c>
      <c r="P28" s="296" t="s">
        <v>1564</v>
      </c>
      <c r="Q28" s="4">
        <v>99.296587735258996</v>
      </c>
      <c r="R28" s="4">
        <v>100</v>
      </c>
      <c r="S28" s="4">
        <v>0.70341226474101326</v>
      </c>
      <c r="T28" s="3673" t="str">
        <f>IF(       0.053&lt;0.01,"***",IF(       0.053&lt;0.05,"**",IF(       0.053&lt;0.1,"*","NS")))</f>
        <v>*</v>
      </c>
    </row>
    <row r="29" spans="1:20" x14ac:dyDescent="0.2">
      <c r="A29" s="296" t="s">
        <v>1342</v>
      </c>
      <c r="B29" s="4">
        <v>89.195638155321191</v>
      </c>
      <c r="C29" s="4">
        <v>90.17776709832242</v>
      </c>
      <c r="D29" s="4">
        <v>0.98212894300122566</v>
      </c>
      <c r="E29" s="3674" t="str">
        <f>IF(       0.78&lt;0.01,"***",IF(       0.78&lt;0.05,"**",IF(       0.78&lt;0.1,"*","NS")))</f>
        <v>NS</v>
      </c>
      <c r="G29" s="296" t="s">
        <v>1446</v>
      </c>
      <c r="H29" s="4">
        <v>89.195638155321191</v>
      </c>
      <c r="I29" s="4">
        <v>92.243752417609386</v>
      </c>
      <c r="J29" s="4">
        <v>3.0481142622881778</v>
      </c>
      <c r="K29" s="3675" t="str">
        <f>IF(       0.403&lt;0.01,"***",IF(       0.403&lt;0.05,"**",IF(       0.403&lt;0.1,"*","NS")))</f>
        <v>NS</v>
      </c>
      <c r="L29" s="4">
        <v>82.96052920241678</v>
      </c>
      <c r="M29" s="4">
        <v>-6.2351089529044019</v>
      </c>
      <c r="N29" s="3676" t="str">
        <f>IF(       0.329&lt;0.01,"***",IF(       0.329&lt;0.05,"**",IF(       0.329&lt;0.1,"*","NS")))</f>
        <v>NS</v>
      </c>
      <c r="P29" s="296" t="s">
        <v>1565</v>
      </c>
      <c r="Q29" s="4">
        <v>89.824270133850519</v>
      </c>
      <c r="R29" s="4">
        <v>82.96052920241678</v>
      </c>
      <c r="S29" s="4">
        <v>-6.8637409314337123</v>
      </c>
      <c r="T29" s="3677" t="str">
        <f>IF(       0.269&lt;0.01,"***",IF(       0.269&lt;0.05,"**",IF(       0.269&lt;0.1,"*","NS")))</f>
        <v>NS</v>
      </c>
    </row>
    <row r="30" spans="1:20" x14ac:dyDescent="0.2">
      <c r="A30" s="296" t="s">
        <v>1343</v>
      </c>
      <c r="B30" s="4">
        <v>65.265413750456148</v>
      </c>
      <c r="C30" s="4">
        <v>62.991884760354687</v>
      </c>
      <c r="D30" s="4">
        <v>-2.2735289901014437</v>
      </c>
      <c r="E30" s="3678" t="str">
        <f>IF(       0.433&lt;0.01,"***",IF(       0.433&lt;0.05,"**",IF(       0.433&lt;0.1,"*","NS")))</f>
        <v>NS</v>
      </c>
      <c r="G30" s="296" t="s">
        <v>1447</v>
      </c>
      <c r="H30" s="4">
        <v>65.265413750456148</v>
      </c>
      <c r="I30" s="4">
        <v>60.883843861391057</v>
      </c>
      <c r="J30" s="4">
        <v>-4.3815698890651209</v>
      </c>
      <c r="K30" s="3679" t="str">
        <f>IF(       0.18&lt;0.01,"***",IF(       0.18&lt;0.05,"**",IF(       0.18&lt;0.1,"*","NS")))</f>
        <v>NS</v>
      </c>
      <c r="L30" s="4">
        <v>66.142047880038675</v>
      </c>
      <c r="M30" s="4">
        <v>0.87663412958253328</v>
      </c>
      <c r="N30" s="3680" t="str">
        <f>IF(       0.829&lt;0.01,"***",IF(       0.829&lt;0.05,"**",IF(       0.829&lt;0.1,"*","NS")))</f>
        <v>NS</v>
      </c>
      <c r="P30" s="296" t="s">
        <v>1566</v>
      </c>
      <c r="Q30" s="4">
        <v>63.609343757629361</v>
      </c>
      <c r="R30" s="4">
        <v>66.142047880038675</v>
      </c>
      <c r="S30" s="4">
        <v>2.5327041224093083</v>
      </c>
      <c r="T30" s="3681" t="str">
        <f>IF(       0.517&lt;0.01,"***",IF(       0.517&lt;0.05,"**",IF(       0.517&lt;0.1,"*","NS")))</f>
        <v>NS</v>
      </c>
    </row>
    <row r="31" spans="1:20" x14ac:dyDescent="0.2">
      <c r="A31" s="296" t="s">
        <v>1344</v>
      </c>
      <c r="B31" s="4">
        <v>87.496827092374943</v>
      </c>
      <c r="C31" s="4">
        <v>82.894917033811737</v>
      </c>
      <c r="D31" s="4">
        <v>-4.6019100585631927</v>
      </c>
      <c r="E31" s="3682" t="str">
        <f>IF(       0.027&lt;0.01,"***",IF(       0.027&lt;0.05,"**",IF(       0.027&lt;0.1,"*","NS")))</f>
        <v>**</v>
      </c>
      <c r="G31" s="296" t="s">
        <v>1448</v>
      </c>
      <c r="H31" s="4">
        <v>87.496827092374943</v>
      </c>
      <c r="I31" s="4">
        <v>84.848484539613352</v>
      </c>
      <c r="J31" s="4">
        <v>-2.6483425527615765</v>
      </c>
      <c r="K31" s="3683" t="str">
        <f>IF(       0.194&lt;0.01,"***",IF(       0.194&lt;0.05,"**",IF(       0.194&lt;0.1,"*","NS")))</f>
        <v>NS</v>
      </c>
      <c r="L31" s="4">
        <v>76.512696965072308</v>
      </c>
      <c r="M31" s="4">
        <v>-10.984130127302606</v>
      </c>
      <c r="N31" s="3684" t="str">
        <f>IF(       0.004&lt;0.01,"***",IF(       0.004&lt;0.05,"**",IF(       0.004&lt;0.1,"*","NS")))</f>
        <v>***</v>
      </c>
      <c r="P31" s="296" t="s">
        <v>1567</v>
      </c>
      <c r="Q31" s="4">
        <v>86.420560770887661</v>
      </c>
      <c r="R31" s="4">
        <v>76.512696965072308</v>
      </c>
      <c r="S31" s="4">
        <v>-9.9078638058152588</v>
      </c>
      <c r="T31" s="3685" t="str">
        <f>IF(       0.006&lt;0.01,"***",IF(       0.006&lt;0.05,"**",IF(       0.006&lt;0.1,"*","NS")))</f>
        <v>***</v>
      </c>
    </row>
    <row r="32" spans="1:20" x14ac:dyDescent="0.2">
      <c r="A32" s="296" t="s">
        <v>1345</v>
      </c>
      <c r="B32" s="4">
        <v>73.849058349283396</v>
      </c>
      <c r="C32" s="4">
        <v>69.034900078477818</v>
      </c>
      <c r="D32" s="4">
        <v>-4.8141582708055921</v>
      </c>
      <c r="E32" s="3686" t="str">
        <f>IF(       0.096&lt;0.01,"***",IF(       0.096&lt;0.05,"**",IF(       0.096&lt;0.1,"*","NS")))</f>
        <v>*</v>
      </c>
      <c r="G32" s="296" t="s">
        <v>1449</v>
      </c>
      <c r="H32" s="4">
        <v>73.849058349283396</v>
      </c>
      <c r="I32" s="4">
        <v>68.937625567485739</v>
      </c>
      <c r="J32" s="4">
        <v>-4.9114327817976182</v>
      </c>
      <c r="K32" s="3687" t="str">
        <f>IF(       0.108&lt;0.01,"***",IF(       0.108&lt;0.05,"**",IF(       0.108&lt;0.1,"*","NS")))</f>
        <v>NS</v>
      </c>
      <c r="L32" s="4">
        <v>69.287018346941423</v>
      </c>
      <c r="M32" s="4">
        <v>-4.5620400023419911</v>
      </c>
      <c r="N32" s="3688" t="str">
        <f>IF(       0.23&lt;0.01,"***",IF(       0.23&lt;0.05,"**",IF(       0.23&lt;0.1,"*","NS")))</f>
        <v>NS</v>
      </c>
      <c r="P32" s="296" t="s">
        <v>1568</v>
      </c>
      <c r="Q32" s="4">
        <v>72.563475471957844</v>
      </c>
      <c r="R32" s="4">
        <v>69.287018346941423</v>
      </c>
      <c r="S32" s="4">
        <v>-3.2764571250163899</v>
      </c>
      <c r="T32" s="3689" t="str">
        <f>IF(       0.345&lt;0.01,"***",IF(       0.345&lt;0.05,"**",IF(       0.345&lt;0.1,"*","NS")))</f>
        <v>NS</v>
      </c>
    </row>
    <row r="33" spans="1:20" x14ac:dyDescent="0.2">
      <c r="A33" s="296" t="s">
        <v>1346</v>
      </c>
      <c r="B33" s="4">
        <v>75.155738303264044</v>
      </c>
      <c r="C33" s="4">
        <v>62.449749899925607</v>
      </c>
      <c r="D33" s="4">
        <v>-12.705988403338587</v>
      </c>
      <c r="E33" s="3690" t="str">
        <f>IF(       0&lt;0.01,"***",IF(       0&lt;0.05,"**",IF(       0&lt;0.1,"*","NS")))</f>
        <v>***</v>
      </c>
      <c r="G33" s="296" t="s">
        <v>1450</v>
      </c>
      <c r="H33" s="4">
        <v>75.155738303264044</v>
      </c>
      <c r="I33" s="4">
        <v>64.095901788062392</v>
      </c>
      <c r="J33" s="4">
        <v>-11.059836515201727</v>
      </c>
      <c r="K33" s="3691" t="str">
        <f>IF(       0.002&lt;0.01,"***",IF(       0.002&lt;0.05,"**",IF(       0.002&lt;0.1,"*","NS")))</f>
        <v>***</v>
      </c>
      <c r="L33" s="4">
        <v>57.901152119241708</v>
      </c>
      <c r="M33" s="4">
        <v>-17.254586184022347</v>
      </c>
      <c r="N33" s="3692" t="str">
        <f>IF(       0.001&lt;0.01,"***",IF(       0.001&lt;0.05,"**",IF(       0.001&lt;0.1,"*","NS")))</f>
        <v>***</v>
      </c>
      <c r="P33" s="296" t="s">
        <v>1569</v>
      </c>
      <c r="Q33" s="4">
        <v>72.566884118497256</v>
      </c>
      <c r="R33" s="4">
        <v>57.901152119241708</v>
      </c>
      <c r="S33" s="4">
        <v>-14.665731999255744</v>
      </c>
      <c r="T33" s="3693" t="str">
        <f>IF(       0.003&lt;0.01,"***",IF(       0.003&lt;0.05,"**",IF(       0.003&lt;0.1,"*","NS")))</f>
        <v>***</v>
      </c>
    </row>
    <row r="34" spans="1:20" x14ac:dyDescent="0.2">
      <c r="A34" s="296" t="s">
        <v>1347</v>
      </c>
      <c r="B34" s="4">
        <v>95.148851714311121</v>
      </c>
      <c r="C34" s="4">
        <v>95.86317154233646</v>
      </c>
      <c r="D34" s="4">
        <v>0.7143198280253561</v>
      </c>
      <c r="E34" s="3694" t="str">
        <f>IF(       0.523&lt;0.01,"***",IF(       0.523&lt;0.05,"**",IF(       0.523&lt;0.1,"*","NS")))</f>
        <v>NS</v>
      </c>
      <c r="G34" s="296" t="s">
        <v>1451</v>
      </c>
      <c r="H34" s="4">
        <v>95.148851714311121</v>
      </c>
      <c r="I34" s="4">
        <v>95.678725874616092</v>
      </c>
      <c r="J34" s="4">
        <v>0.52987416030497425</v>
      </c>
      <c r="K34" s="3695" t="str">
        <f>IF(       0.71&lt;0.01,"***",IF(       0.71&lt;0.05,"**",IF(       0.71&lt;0.1,"*","NS")))</f>
        <v>NS</v>
      </c>
      <c r="L34" s="4">
        <v>96.474117918207213</v>
      </c>
      <c r="M34" s="4">
        <v>1.3252662038960936</v>
      </c>
      <c r="N34" s="3696" t="str">
        <f>IF(       0.253&lt;0.01,"***",IF(       0.253&lt;0.05,"**",IF(       0.253&lt;0.1,"*","NS")))</f>
        <v>NS</v>
      </c>
      <c r="P34" s="296" t="s">
        <v>1570</v>
      </c>
      <c r="Q34" s="4">
        <v>95.281433361854312</v>
      </c>
      <c r="R34" s="4">
        <v>96.474117918207213</v>
      </c>
      <c r="S34" s="4">
        <v>1.1926845563529165</v>
      </c>
      <c r="T34" s="3697" t="str">
        <f>IF(       0.329&lt;0.01,"***",IF(       0.329&lt;0.05,"**",IF(       0.329&lt;0.1,"*","NS")))</f>
        <v>NS</v>
      </c>
    </row>
    <row r="35" spans="1:20" x14ac:dyDescent="0.2">
      <c r="A35" s="296" t="s">
        <v>1348</v>
      </c>
      <c r="B35" s="4">
        <v>67.067043316209492</v>
      </c>
      <c r="C35" s="4">
        <v>60.860626885579251</v>
      </c>
      <c r="D35" s="4">
        <v>-6.2064164306302496</v>
      </c>
      <c r="E35" s="3698" t="str">
        <f>IF(       0.019&lt;0.01,"***",IF(       0.019&lt;0.05,"**",IF(       0.019&lt;0.1,"*","NS")))</f>
        <v>**</v>
      </c>
      <c r="G35" s="296" t="s">
        <v>1452</v>
      </c>
      <c r="H35" s="4">
        <v>67.067043316209492</v>
      </c>
      <c r="I35" s="4">
        <v>63.214428769750803</v>
      </c>
      <c r="J35" s="4">
        <v>-3.8526145464587143</v>
      </c>
      <c r="K35" s="3699" t="str">
        <f>IF(       0.188&lt;0.01,"***",IF(       0.188&lt;0.05,"**",IF(       0.188&lt;0.1,"*","NS")))</f>
        <v>NS</v>
      </c>
      <c r="L35" s="4">
        <v>56.102285312301547</v>
      </c>
      <c r="M35" s="4">
        <v>-10.964758003907939</v>
      </c>
      <c r="N35" s="3700" t="str">
        <f>IF(       0.009&lt;0.01,"***",IF(       0.009&lt;0.05,"**",IF(       0.009&lt;0.1,"*","NS")))</f>
        <v>***</v>
      </c>
      <c r="P35" s="296" t="s">
        <v>1571</v>
      </c>
      <c r="Q35" s="4">
        <v>65.77107595577786</v>
      </c>
      <c r="R35" s="4">
        <v>56.102285312301547</v>
      </c>
      <c r="S35" s="4">
        <v>-9.6687906434762159</v>
      </c>
      <c r="T35" s="3701" t="str">
        <f>IF(       0.017&lt;0.01,"***",IF(       0.017&lt;0.05,"**",IF(       0.017&lt;0.1,"*","NS")))</f>
        <v>**</v>
      </c>
    </row>
    <row r="36" spans="1:20" x14ac:dyDescent="0.2">
      <c r="A36" s="296" t="s">
        <v>1349</v>
      </c>
      <c r="B36" s="4">
        <v>86.084735635117099</v>
      </c>
      <c r="C36" s="4">
        <v>87.446616408110216</v>
      </c>
      <c r="D36" s="4">
        <v>1.3618807729931264</v>
      </c>
      <c r="E36" s="3702" t="str">
        <f>IF(       0.686&lt;0.01,"***",IF(       0.686&lt;0.05,"**",IF(       0.686&lt;0.1,"*","NS")))</f>
        <v>NS</v>
      </c>
      <c r="G36" s="296" t="s">
        <v>1453</v>
      </c>
      <c r="H36" s="4">
        <v>86.084735635117099</v>
      </c>
      <c r="I36" s="4">
        <v>87.237731444848535</v>
      </c>
      <c r="J36" s="4">
        <v>1.152995809731435</v>
      </c>
      <c r="K36" s="3703" t="str">
        <f>IF(       0.749&lt;0.01,"***",IF(       0.749&lt;0.05,"**",IF(       0.749&lt;0.1,"*","NS")))</f>
        <v>NS</v>
      </c>
      <c r="L36" s="4">
        <v>88.193413208129513</v>
      </c>
      <c r="M36" s="4">
        <v>2.108677573012403</v>
      </c>
      <c r="N36" s="3704" t="str">
        <f>IF(       0.584&lt;0.01,"***",IF(       0.584&lt;0.05,"**",IF(       0.584&lt;0.1,"*","NS")))</f>
        <v>NS</v>
      </c>
      <c r="P36" s="296" t="s">
        <v>1572</v>
      </c>
      <c r="Q36" s="4">
        <v>86.399941454361965</v>
      </c>
      <c r="R36" s="4">
        <v>88.193413208129513</v>
      </c>
      <c r="S36" s="4">
        <v>1.7934717537675486</v>
      </c>
      <c r="T36" s="3705" t="str">
        <f>IF(       0.596&lt;0.01,"***",IF(       0.596&lt;0.05,"**",IF(       0.596&lt;0.1,"*","NS")))</f>
        <v>NS</v>
      </c>
    </row>
    <row r="37" spans="1:20" x14ac:dyDescent="0.2">
      <c r="A37" s="296" t="s">
        <v>5835</v>
      </c>
      <c r="B37" s="4">
        <v>81.240244415587242</v>
      </c>
      <c r="C37" s="4">
        <v>75.49683460646186</v>
      </c>
      <c r="D37" s="4">
        <v>-5.7434098091254864</v>
      </c>
      <c r="E37" s="3706" t="str">
        <f>IF(       0&lt;0.01,"***",IF(       0&lt;0.05,"**",IF(       0&lt;0.1,"*","NS")))</f>
        <v>***</v>
      </c>
      <c r="G37" s="296" t="s">
        <v>5835</v>
      </c>
      <c r="H37" s="4">
        <v>81.240244415587242</v>
      </c>
      <c r="I37" s="4">
        <v>76.709959428315798</v>
      </c>
      <c r="J37" s="4">
        <v>-4.5302849872715729</v>
      </c>
      <c r="K37" s="3707" t="str">
        <f>IF(       0&lt;0.01,"***",IF(       0&lt;0.05,"**",IF(       0&lt;0.1,"*","NS")))</f>
        <v>***</v>
      </c>
      <c r="L37" s="4">
        <v>72.094703393769578</v>
      </c>
      <c r="M37" s="4">
        <v>-9.145541021817559</v>
      </c>
      <c r="N37" s="3708" t="str">
        <f>IF(       0&lt;0.01,"***",IF(       0&lt;0.05,"**",IF(       0&lt;0.1,"*","NS")))</f>
        <v>***</v>
      </c>
      <c r="P37" s="296" t="s">
        <v>5835</v>
      </c>
      <c r="Q37" s="4">
        <v>79.953246226173064</v>
      </c>
      <c r="R37" s="4">
        <v>72.094703393769578</v>
      </c>
      <c r="S37" s="4">
        <v>-7.8585428324037814</v>
      </c>
      <c r="T37" s="3709" t="str">
        <f>IF(       0&lt;0.01,"***",IF(       0&lt;0.05,"**",IF(       0&lt;0.1,"*","NS")))</f>
        <v>***</v>
      </c>
    </row>
    <row r="39" spans="1:20" x14ac:dyDescent="0.2">
      <c r="A39" s="296" t="s">
        <v>1350</v>
      </c>
      <c r="G39" s="296" t="s">
        <v>1454</v>
      </c>
      <c r="P39" s="296" t="s">
        <v>1573</v>
      </c>
    </row>
    <row r="40" spans="1:20" s="3" customFormat="1" x14ac:dyDescent="0.2">
      <c r="A40" s="6162" t="s">
        <v>1351</v>
      </c>
      <c r="B40" s="6163" t="s">
        <v>1352</v>
      </c>
      <c r="C40" s="6164" t="s">
        <v>1353</v>
      </c>
      <c r="D40" s="6165" t="s">
        <v>1354</v>
      </c>
      <c r="E40" s="6166" t="s">
        <v>1355</v>
      </c>
      <c r="G40" s="6167" t="s">
        <v>1455</v>
      </c>
      <c r="H40" s="6168" t="s">
        <v>1456</v>
      </c>
      <c r="I40" s="6169" t="s">
        <v>1457</v>
      </c>
      <c r="J40" s="6170" t="s">
        <v>1458</v>
      </c>
      <c r="K40" s="6171" t="s">
        <v>1459</v>
      </c>
      <c r="L40" s="6172" t="s">
        <v>1522</v>
      </c>
      <c r="M40" s="6173" t="s">
        <v>1523</v>
      </c>
      <c r="N40" s="6174" t="s">
        <v>1524</v>
      </c>
      <c r="P40" s="6175" t="s">
        <v>1574</v>
      </c>
      <c r="Q40" s="6176" t="s">
        <v>1575</v>
      </c>
      <c r="R40" s="6177" t="s">
        <v>1576</v>
      </c>
      <c r="S40" s="6178" t="s">
        <v>1577</v>
      </c>
      <c r="T40" s="6179" t="s">
        <v>1578</v>
      </c>
    </row>
    <row r="41" spans="1:20" x14ac:dyDescent="0.2">
      <c r="A41" s="296" t="s">
        <v>1356</v>
      </c>
      <c r="B41" s="4">
        <v>80.518832666781108</v>
      </c>
      <c r="C41" s="4">
        <v>82.570140514025837</v>
      </c>
      <c r="D41" s="4">
        <v>2.0513078472447268</v>
      </c>
      <c r="E41" s="3710" t="str">
        <f>IF(       0.382&lt;0.01,"***",IF(       0.382&lt;0.05,"**",IF(       0.382&lt;0.1,"*","NS")))</f>
        <v>NS</v>
      </c>
      <c r="G41" s="296" t="s">
        <v>1460</v>
      </c>
      <c r="H41" s="4">
        <v>80.518832666781108</v>
      </c>
      <c r="I41" s="4">
        <v>81.87053822899027</v>
      </c>
      <c r="J41" s="4">
        <v>1.3517055622091574</v>
      </c>
      <c r="K41" s="3711" t="str">
        <f>IF(       0.622&lt;0.01,"***",IF(       0.622&lt;0.05,"**",IF(       0.622&lt;0.1,"*","NS")))</f>
        <v>NS</v>
      </c>
      <c r="L41" s="4">
        <v>85.833933750496982</v>
      </c>
      <c r="M41" s="4">
        <v>5.315101083715903</v>
      </c>
      <c r="N41" s="3712" t="str">
        <f>IF(       0.122&lt;0.01,"***",IF(       0.122&lt;0.05,"**",IF(       0.122&lt;0.1,"*","NS")))</f>
        <v>NS</v>
      </c>
      <c r="P41" s="296" t="s">
        <v>1579</v>
      </c>
      <c r="Q41" s="4">
        <v>80.976299136462913</v>
      </c>
      <c r="R41" s="4">
        <v>85.833933750496982</v>
      </c>
      <c r="S41" s="4">
        <v>4.8576346140340458</v>
      </c>
      <c r="T41" s="3713" t="str">
        <f>IF(       0.172&lt;0.01,"***",IF(       0.172&lt;0.05,"**",IF(       0.172&lt;0.1,"*","NS")))</f>
        <v>NS</v>
      </c>
    </row>
    <row r="42" spans="1:20" x14ac:dyDescent="0.2">
      <c r="A42" s="296" t="s">
        <v>1357</v>
      </c>
      <c r="B42" s="4">
        <v>52.978900822605333</v>
      </c>
      <c r="C42" s="4">
        <v>47.173515989433589</v>
      </c>
      <c r="D42" s="4">
        <v>-5.8053848331717379</v>
      </c>
      <c r="E42" s="3714" t="str">
        <f>IF(       0.07&lt;0.01,"***",IF(       0.07&lt;0.05,"**",IF(       0.07&lt;0.1,"*","NS")))</f>
        <v>*</v>
      </c>
      <c r="G42" s="296" t="s">
        <v>1461</v>
      </c>
      <c r="H42" s="4">
        <v>52.978900822605333</v>
      </c>
      <c r="I42" s="4">
        <v>47.182733316576538</v>
      </c>
      <c r="J42" s="4">
        <v>-5.7961675060288282</v>
      </c>
      <c r="K42" s="3715" t="str">
        <f>IF(       0.074&lt;0.01,"***",IF(       0.074&lt;0.05,"**",IF(       0.074&lt;0.1,"*","NS")))</f>
        <v>*</v>
      </c>
      <c r="L42" s="4">
        <v>47.14866893843007</v>
      </c>
      <c r="M42" s="4">
        <v>-5.8302318841752463</v>
      </c>
      <c r="N42" s="3716" t="str">
        <f>IF(       0.233&lt;0.01,"***",IF(       0.233&lt;0.05,"**",IF(       0.233&lt;0.1,"*","NS")))</f>
        <v>NS</v>
      </c>
      <c r="P42" s="296" t="s">
        <v>1580</v>
      </c>
      <c r="Q42" s="4">
        <v>51.58983232528233</v>
      </c>
      <c r="R42" s="4">
        <v>47.14866893843007</v>
      </c>
      <c r="S42" s="4">
        <v>-4.4411633868522182</v>
      </c>
      <c r="T42" s="3717" t="str">
        <f>IF(       0.333&lt;0.01,"***",IF(       0.333&lt;0.05,"**",IF(       0.333&lt;0.1,"*","NS")))</f>
        <v>NS</v>
      </c>
    </row>
    <row r="43" spans="1:20" x14ac:dyDescent="0.2">
      <c r="A43" s="296" t="s">
        <v>1358</v>
      </c>
      <c r="B43" s="4">
        <v>86.329393746404236</v>
      </c>
      <c r="C43" s="4">
        <v>78.854868487000985</v>
      </c>
      <c r="D43" s="4">
        <v>-7.4745252594033227</v>
      </c>
      <c r="E43" s="3718" t="str">
        <f>IF(       0.009&lt;0.01,"***",IF(       0.009&lt;0.05,"**",IF(       0.009&lt;0.1,"*","NS")))</f>
        <v>***</v>
      </c>
      <c r="G43" s="296" t="s">
        <v>1462</v>
      </c>
      <c r="H43" s="4">
        <v>86.329393746404236</v>
      </c>
      <c r="I43" s="4">
        <v>78.298879404230931</v>
      </c>
      <c r="J43" s="4">
        <v>-8.0305143421732836</v>
      </c>
      <c r="K43" s="3719" t="str">
        <f>IF(       0.004&lt;0.01,"***",IF(       0.004&lt;0.05,"**",IF(       0.004&lt;0.1,"*","NS")))</f>
        <v>***</v>
      </c>
      <c r="L43" s="4">
        <v>80.788887921831289</v>
      </c>
      <c r="M43" s="4">
        <v>-5.5405058245729553</v>
      </c>
      <c r="N43" s="3720" t="str">
        <f>IF(       0.361&lt;0.01,"***",IF(       0.361&lt;0.05,"**",IF(       0.361&lt;0.1,"*","NS")))</f>
        <v>NS</v>
      </c>
      <c r="P43" s="296" t="s">
        <v>1581</v>
      </c>
      <c r="Q43" s="4">
        <v>84.424167111466687</v>
      </c>
      <c r="R43" s="4">
        <v>80.788887921831289</v>
      </c>
      <c r="S43" s="4">
        <v>-3.6352791896354164</v>
      </c>
      <c r="T43" s="3721" t="str">
        <f>IF(       0.54&lt;0.01,"***",IF(       0.54&lt;0.05,"**",IF(       0.54&lt;0.1,"*","NS")))</f>
        <v>NS</v>
      </c>
    </row>
    <row r="44" spans="1:20" x14ac:dyDescent="0.2">
      <c r="A44" s="296" t="s">
        <v>1359</v>
      </c>
      <c r="B44" s="4">
        <v>95.696428523919195</v>
      </c>
      <c r="C44" s="4">
        <v>96.176669629448554</v>
      </c>
      <c r="D44" s="4">
        <v>0.48024110552935606</v>
      </c>
      <c r="E44" s="3722" t="str">
        <f>IF(       0.751&lt;0.01,"***",IF(       0.751&lt;0.05,"**",IF(       0.751&lt;0.1,"*","NS")))</f>
        <v>NS</v>
      </c>
      <c r="G44" s="296" t="s">
        <v>1463</v>
      </c>
      <c r="H44" s="4">
        <v>95.696428523919195</v>
      </c>
      <c r="I44" s="4">
        <v>95.791594063107027</v>
      </c>
      <c r="J44" s="4">
        <v>9.51655391878308E-2</v>
      </c>
      <c r="K44" s="3723" t="str">
        <f>IF(       0.96&lt;0.01,"***",IF(       0.96&lt;0.05,"**",IF(       0.96&lt;0.1,"*","NS")))</f>
        <v>NS</v>
      </c>
      <c r="L44" s="4">
        <v>97.782564430628952</v>
      </c>
      <c r="M44" s="4">
        <v>2.0861359067097469</v>
      </c>
      <c r="N44" s="3724" t="str">
        <f>IF(       0.097&lt;0.01,"***",IF(       0.097&lt;0.05,"**",IF(       0.097&lt;0.1,"*","NS")))</f>
        <v>*</v>
      </c>
      <c r="P44" s="296" t="s">
        <v>1582</v>
      </c>
      <c r="Q44" s="4">
        <v>95.723038434248735</v>
      </c>
      <c r="R44" s="4">
        <v>97.782564430628952</v>
      </c>
      <c r="S44" s="4">
        <v>2.059525996380219</v>
      </c>
      <c r="T44" s="3725" t="str">
        <f>IF(       0.147&lt;0.01,"***",IF(       0.147&lt;0.05,"**",IF(       0.147&lt;0.1,"*","NS")))</f>
        <v>NS</v>
      </c>
    </row>
    <row r="45" spans="1:20" x14ac:dyDescent="0.2">
      <c r="A45" s="296" t="s">
        <v>1360</v>
      </c>
      <c r="B45" s="4">
        <v>78.643541653641535</v>
      </c>
      <c r="C45" s="4">
        <v>73.535944285044579</v>
      </c>
      <c r="D45" s="4">
        <v>-5.1075973685969585</v>
      </c>
      <c r="E45" s="3726" t="str">
        <f>IF(       0.054&lt;0.01,"***",IF(       0.054&lt;0.05,"**",IF(       0.054&lt;0.1,"*","NS")))</f>
        <v>*</v>
      </c>
      <c r="G45" s="296" t="s">
        <v>1464</v>
      </c>
      <c r="H45" s="4">
        <v>78.643541653641535</v>
      </c>
      <c r="I45" s="4">
        <v>72.606024550082765</v>
      </c>
      <c r="J45" s="4">
        <v>-6.0375171035587547</v>
      </c>
      <c r="K45" s="3727" t="str">
        <f>IF(       0.035&lt;0.01,"***",IF(       0.035&lt;0.05,"**",IF(       0.035&lt;0.1,"*","NS")))</f>
        <v>**</v>
      </c>
      <c r="L45" s="4">
        <v>78.300689327619509</v>
      </c>
      <c r="M45" s="4">
        <v>-0.3428523260220141</v>
      </c>
      <c r="N45" s="3728" t="str">
        <f>IF(       0.957&lt;0.01,"***",IF(       0.957&lt;0.05,"**",IF(       0.957&lt;0.1,"*","NS")))</f>
        <v>NS</v>
      </c>
      <c r="P45" s="296" t="s">
        <v>1583</v>
      </c>
      <c r="Q45" s="4">
        <v>77.069686610554342</v>
      </c>
      <c r="R45" s="4">
        <v>78.300689327619509</v>
      </c>
      <c r="S45" s="4">
        <v>1.231002717065157</v>
      </c>
      <c r="T45" s="3729" t="str">
        <f>IF(       0.85&lt;0.01,"***",IF(       0.85&lt;0.05,"**",IF(       0.85&lt;0.1,"*","NS")))</f>
        <v>NS</v>
      </c>
    </row>
    <row r="46" spans="1:20" x14ac:dyDescent="0.2">
      <c r="A46" s="296" t="s">
        <v>1361</v>
      </c>
      <c r="B46" s="4">
        <v>92.756503269027988</v>
      </c>
      <c r="C46" s="4">
        <v>83.070386056656602</v>
      </c>
      <c r="D46" s="4">
        <v>-9.6861172123713732</v>
      </c>
      <c r="E46" s="3730" t="str">
        <f>IF(       0.001&lt;0.01,"***",IF(       0.001&lt;0.05,"**",IF(       0.001&lt;0.1,"*","NS")))</f>
        <v>***</v>
      </c>
      <c r="G46" s="296" t="s">
        <v>1465</v>
      </c>
      <c r="H46" s="4">
        <v>92.756503269027988</v>
      </c>
      <c r="I46" s="4">
        <v>82.905783175564878</v>
      </c>
      <c r="J46" s="4">
        <v>-9.8507200934630692</v>
      </c>
      <c r="K46" s="3731" t="str">
        <f>IF(       0.001&lt;0.01,"***",IF(       0.001&lt;0.05,"**",IF(       0.001&lt;0.1,"*","NS")))</f>
        <v>***</v>
      </c>
      <c r="L46" s="4">
        <v>83.643583552300896</v>
      </c>
      <c r="M46" s="4">
        <v>-9.1129197167269957</v>
      </c>
      <c r="N46" s="3732" t="str">
        <f>IF(       0.042&lt;0.01,"***",IF(       0.042&lt;0.05,"**",IF(       0.042&lt;0.1,"*","NS")))</f>
        <v>**</v>
      </c>
      <c r="P46" s="296" t="s">
        <v>1584</v>
      </c>
      <c r="Q46" s="4">
        <v>90.106073745303775</v>
      </c>
      <c r="R46" s="4">
        <v>83.643583552300896</v>
      </c>
      <c r="S46" s="4">
        <v>-6.4624901930028562</v>
      </c>
      <c r="T46" s="3733" t="str">
        <f>IF(       0.122&lt;0.01,"***",IF(       0.122&lt;0.05,"**",IF(       0.122&lt;0.1,"*","NS")))</f>
        <v>NS</v>
      </c>
    </row>
    <row r="47" spans="1:20" x14ac:dyDescent="0.2">
      <c r="A47" s="296" t="s">
        <v>1362</v>
      </c>
      <c r="B47" s="4" t="s">
        <v>6067</v>
      </c>
      <c r="C47" s="4" t="s">
        <v>6067</v>
      </c>
      <c r="D47" s="4" t="s">
        <v>6067</v>
      </c>
      <c r="E47" s="4" t="s">
        <v>6067</v>
      </c>
      <c r="G47" s="296" t="s">
        <v>1466</v>
      </c>
      <c r="H47" s="4" t="s">
        <v>6067</v>
      </c>
      <c r="I47" s="4" t="s">
        <v>6067</v>
      </c>
      <c r="J47" s="4" t="s">
        <v>6067</v>
      </c>
      <c r="K47" s="4" t="s">
        <v>6067</v>
      </c>
      <c r="L47" s="4" t="s">
        <v>6067</v>
      </c>
      <c r="M47" s="4" t="s">
        <v>6067</v>
      </c>
      <c r="N47" s="4" t="s">
        <v>6067</v>
      </c>
      <c r="P47" s="296" t="s">
        <v>1585</v>
      </c>
      <c r="Q47" s="4" t="s">
        <v>6067</v>
      </c>
      <c r="R47" s="4" t="s">
        <v>6067</v>
      </c>
      <c r="S47" s="4" t="s">
        <v>6067</v>
      </c>
      <c r="T47" s="4" t="s">
        <v>6067</v>
      </c>
    </row>
    <row r="48" spans="1:20" x14ac:dyDescent="0.2">
      <c r="A48" s="296" t="s">
        <v>1363</v>
      </c>
      <c r="B48" s="4">
        <v>88.721193740969241</v>
      </c>
      <c r="C48" s="4">
        <v>90.576254632835074</v>
      </c>
      <c r="D48" s="4">
        <v>1.8550608918658231</v>
      </c>
      <c r="E48" s="3734" t="str">
        <f>IF(       0.15&lt;0.01,"***",IF(       0.15&lt;0.05,"**",IF(       0.15&lt;0.1,"*","NS")))</f>
        <v>NS</v>
      </c>
      <c r="G48" s="296" t="s">
        <v>1467</v>
      </c>
      <c r="H48" s="4">
        <v>88.721193740969241</v>
      </c>
      <c r="I48" s="4">
        <v>89.587499883527514</v>
      </c>
      <c r="J48" s="4">
        <v>0.86630614255827221</v>
      </c>
      <c r="K48" s="3735" t="str">
        <f>IF(       0.56&lt;0.01,"***",IF(       0.56&lt;0.05,"**",IF(       0.56&lt;0.1,"*","NS")))</f>
        <v>NS</v>
      </c>
      <c r="L48" s="4">
        <v>93.531516740981218</v>
      </c>
      <c r="M48" s="4">
        <v>4.8103230000119819</v>
      </c>
      <c r="N48" s="3736" t="str">
        <f>IF(       0.03&lt;0.01,"***",IF(       0.03&lt;0.05,"**",IF(       0.03&lt;0.1,"*","NS")))</f>
        <v>**</v>
      </c>
      <c r="P48" s="296" t="s">
        <v>1586</v>
      </c>
      <c r="Q48" s="4">
        <v>88.860251613199296</v>
      </c>
      <c r="R48" s="4">
        <v>93.531516740981218</v>
      </c>
      <c r="S48" s="4">
        <v>4.6712651277819566</v>
      </c>
      <c r="T48" s="3737" t="str">
        <f>IF(       0.035&lt;0.01,"***",IF(       0.035&lt;0.05,"**",IF(       0.035&lt;0.1,"*","NS")))</f>
        <v>**</v>
      </c>
    </row>
    <row r="49" spans="1:20" x14ac:dyDescent="0.2">
      <c r="A49" s="296" t="s">
        <v>1364</v>
      </c>
      <c r="B49" s="4">
        <v>62.307065121106618</v>
      </c>
      <c r="C49" s="4">
        <v>62.252405027621897</v>
      </c>
      <c r="D49" s="4">
        <v>-5.4660093484721693E-2</v>
      </c>
      <c r="E49" s="3738" t="str">
        <f>IF(       0.99&lt;0.01,"***",IF(       0.99&lt;0.05,"**",IF(       0.99&lt;0.1,"*","NS")))</f>
        <v>NS</v>
      </c>
      <c r="G49" s="296" t="s">
        <v>1468</v>
      </c>
      <c r="H49" s="4">
        <v>62.307065121106618</v>
      </c>
      <c r="I49" s="4">
        <v>62.977951712977621</v>
      </c>
      <c r="J49" s="4">
        <v>0.67088659187098854</v>
      </c>
      <c r="K49" s="3739" t="str">
        <f>IF(       0.887&lt;0.01,"***",IF(       0.887&lt;0.05,"**",IF(       0.887&lt;0.1,"*","NS")))</f>
        <v>NS</v>
      </c>
      <c r="L49" s="4">
        <v>60.963649054946323</v>
      </c>
      <c r="M49" s="4">
        <v>-1.3434160661603118</v>
      </c>
      <c r="N49" s="3740" t="str">
        <f>IF(       0.838&lt;0.01,"***",IF(       0.838&lt;0.05,"**",IF(       0.838&lt;0.1,"*","NS")))</f>
        <v>NS</v>
      </c>
      <c r="P49" s="296" t="s">
        <v>1587</v>
      </c>
      <c r="Q49" s="4">
        <v>62.505491967491473</v>
      </c>
      <c r="R49" s="4">
        <v>60.963649054946323</v>
      </c>
      <c r="S49" s="4">
        <v>-1.5418429125451374</v>
      </c>
      <c r="T49" s="3741" t="str">
        <f>IF(       0.811&lt;0.01,"***",IF(       0.811&lt;0.05,"**",IF(       0.811&lt;0.1,"*","NS")))</f>
        <v>NS</v>
      </c>
    </row>
    <row r="50" spans="1:20" x14ac:dyDescent="0.2">
      <c r="A50" s="296" t="s">
        <v>1365</v>
      </c>
      <c r="B50" s="4">
        <v>86.000311236815222</v>
      </c>
      <c r="C50" s="4">
        <v>84.199473623030698</v>
      </c>
      <c r="D50" s="4">
        <v>-1.8008376137845299</v>
      </c>
      <c r="E50" s="3742" t="str">
        <f>IF(       0.291&lt;0.01,"***",IF(       0.291&lt;0.05,"**",IF(       0.291&lt;0.1,"*","NS")))</f>
        <v>NS</v>
      </c>
      <c r="G50" s="296" t="s">
        <v>1469</v>
      </c>
      <c r="H50" s="4">
        <v>86.000311236815222</v>
      </c>
      <c r="I50" s="4">
        <v>85.04998747490815</v>
      </c>
      <c r="J50" s="4">
        <v>-0.95032376190706846</v>
      </c>
      <c r="K50" s="3743" t="str">
        <f>IF(       0.589&lt;0.01,"***",IF(       0.589&lt;0.05,"**",IF(       0.589&lt;0.1,"*","NS")))</f>
        <v>NS</v>
      </c>
      <c r="L50" s="4">
        <v>81.451539702704395</v>
      </c>
      <c r="M50" s="4">
        <v>-4.5487715341108421</v>
      </c>
      <c r="N50" s="3744" t="str">
        <f>IF(       0.139&lt;0.01,"***",IF(       0.139&lt;0.05,"**",IF(       0.139&lt;0.1,"*","NS")))</f>
        <v>NS</v>
      </c>
      <c r="P50" s="296" t="s">
        <v>1588</v>
      </c>
      <c r="Q50" s="4">
        <v>85.653466711142741</v>
      </c>
      <c r="R50" s="4">
        <v>81.451539702704395</v>
      </c>
      <c r="S50" s="4">
        <v>-4.2019270084384424</v>
      </c>
      <c r="T50" s="3745" t="str">
        <f>IF(       0.157&lt;0.01,"***",IF(       0.157&lt;0.05,"**",IF(       0.157&lt;0.1,"*","NS")))</f>
        <v>NS</v>
      </c>
    </row>
    <row r="51" spans="1:20" x14ac:dyDescent="0.2">
      <c r="A51" s="296" t="s">
        <v>1366</v>
      </c>
      <c r="B51" s="4">
        <v>71.106959381815685</v>
      </c>
      <c r="C51" s="4">
        <v>67.736911139627651</v>
      </c>
      <c r="D51" s="4">
        <v>-3.3700482421880347</v>
      </c>
      <c r="E51" s="3746" t="str">
        <f>IF(       0.253&lt;0.01,"***",IF(       0.253&lt;0.05,"**",IF(       0.253&lt;0.1,"*","NS")))</f>
        <v>NS</v>
      </c>
      <c r="G51" s="296" t="s">
        <v>1470</v>
      </c>
      <c r="H51" s="4">
        <v>71.106959381815685</v>
      </c>
      <c r="I51" s="4">
        <v>68.995874815199301</v>
      </c>
      <c r="J51" s="4">
        <v>-2.1110845666163769</v>
      </c>
      <c r="K51" s="3747" t="str">
        <f>IF(       0.555&lt;0.01,"***",IF(       0.555&lt;0.05,"**",IF(       0.555&lt;0.1,"*","NS")))</f>
        <v>NS</v>
      </c>
      <c r="L51" s="4">
        <v>64.14651320269833</v>
      </c>
      <c r="M51" s="4">
        <v>-6.960446179117322</v>
      </c>
      <c r="N51" s="3748" t="str">
        <f>IF(       0.135&lt;0.01,"***",IF(       0.135&lt;0.05,"**",IF(       0.135&lt;0.1,"*","NS")))</f>
        <v>NS</v>
      </c>
      <c r="P51" s="296" t="s">
        <v>1589</v>
      </c>
      <c r="Q51" s="4">
        <v>70.649755626281291</v>
      </c>
      <c r="R51" s="4">
        <v>64.14651320269833</v>
      </c>
      <c r="S51" s="4">
        <v>-6.5032424235829627</v>
      </c>
      <c r="T51" s="3749" t="str">
        <f>IF(       0.168&lt;0.01,"***",IF(       0.168&lt;0.05,"**",IF(       0.168&lt;0.1,"*","NS")))</f>
        <v>NS</v>
      </c>
    </row>
    <row r="52" spans="1:20" x14ac:dyDescent="0.2">
      <c r="A52" s="296" t="s">
        <v>1367</v>
      </c>
      <c r="B52" s="4">
        <v>75.034243736986838</v>
      </c>
      <c r="C52" s="4">
        <v>59.30590858650276</v>
      </c>
      <c r="D52" s="4">
        <v>-15.72833515048413</v>
      </c>
      <c r="E52" s="3750" t="str">
        <f>IF(       0&lt;0.01,"***",IF(       0&lt;0.05,"**",IF(       0&lt;0.1,"*","NS")))</f>
        <v>***</v>
      </c>
      <c r="G52" s="296" t="s">
        <v>1471</v>
      </c>
      <c r="H52" s="4">
        <v>75.034243736986838</v>
      </c>
      <c r="I52" s="4">
        <v>62.002199947729018</v>
      </c>
      <c r="J52" s="4">
        <v>-13.032043789257765</v>
      </c>
      <c r="K52" s="3751" t="str">
        <f>IF(       0.001&lt;0.01,"***",IF(       0.001&lt;0.05,"**",IF(       0.001&lt;0.1,"*","NS")))</f>
        <v>***</v>
      </c>
      <c r="L52" s="4">
        <v>50.597351902185189</v>
      </c>
      <c r="M52" s="4">
        <v>-24.436891834801486</v>
      </c>
      <c r="N52" s="3752" t="str">
        <f>IF(       0.003&lt;0.01,"***",IF(       0.003&lt;0.05,"**",IF(       0.003&lt;0.1,"*","NS")))</f>
        <v>***</v>
      </c>
      <c r="P52" s="296" t="s">
        <v>1590</v>
      </c>
      <c r="Q52" s="4">
        <v>72.455676345110689</v>
      </c>
      <c r="R52" s="4">
        <v>50.597351902185189</v>
      </c>
      <c r="S52" s="4">
        <v>-21.858324442925429</v>
      </c>
      <c r="T52" s="3753" t="str">
        <f>IF(       0.005&lt;0.01,"***",IF(       0.005&lt;0.05,"**",IF(       0.005&lt;0.1,"*","NS")))</f>
        <v>***</v>
      </c>
    </row>
    <row r="53" spans="1:20" x14ac:dyDescent="0.2">
      <c r="A53" s="296" t="s">
        <v>1368</v>
      </c>
      <c r="B53" s="4">
        <v>94.507713946914649</v>
      </c>
      <c r="C53" s="4">
        <v>96.562104932749023</v>
      </c>
      <c r="D53" s="4">
        <v>2.0543909858343836</v>
      </c>
      <c r="E53" s="3754" t="str">
        <f>IF(       0.04&lt;0.01,"***",IF(       0.04&lt;0.05,"**",IF(       0.04&lt;0.1,"*","NS")))</f>
        <v>**</v>
      </c>
      <c r="G53" s="296" t="s">
        <v>1472</v>
      </c>
      <c r="H53" s="4">
        <v>94.507713946914649</v>
      </c>
      <c r="I53" s="4">
        <v>96.637233364382425</v>
      </c>
      <c r="J53" s="4">
        <v>2.1295194174677583</v>
      </c>
      <c r="K53" s="3755" t="str">
        <f>IF(       0.059&lt;0.01,"***",IF(       0.059&lt;0.05,"**",IF(       0.059&lt;0.1,"*","NS")))</f>
        <v>*</v>
      </c>
      <c r="L53" s="4">
        <v>96.355538826366342</v>
      </c>
      <c r="M53" s="4">
        <v>1.8478248794517096</v>
      </c>
      <c r="N53" s="3756" t="str">
        <f>IF(       0.155&lt;0.01,"***",IF(       0.155&lt;0.05,"**",IF(       0.155&lt;0.1,"*","NS")))</f>
        <v>NS</v>
      </c>
      <c r="P53" s="296" t="s">
        <v>1591</v>
      </c>
      <c r="Q53" s="4">
        <v>94.922367552486776</v>
      </c>
      <c r="R53" s="4">
        <v>96.355538826366342</v>
      </c>
      <c r="S53" s="4">
        <v>1.433171273879577</v>
      </c>
      <c r="T53" s="3757" t="str">
        <f>IF(       0.246&lt;0.01,"***",IF(       0.246&lt;0.05,"**",IF(       0.246&lt;0.1,"*","NS")))</f>
        <v>NS</v>
      </c>
    </row>
    <row r="54" spans="1:20" x14ac:dyDescent="0.2">
      <c r="A54" s="296" t="s">
        <v>1369</v>
      </c>
      <c r="B54" s="4">
        <v>65.323451553505507</v>
      </c>
      <c r="C54" s="4">
        <v>57.482992098656503</v>
      </c>
      <c r="D54" s="4">
        <v>-7.8404594548488813</v>
      </c>
      <c r="E54" s="3758" t="str">
        <f>IF(       0.003&lt;0.01,"***",IF(       0.003&lt;0.05,"**",IF(       0.003&lt;0.1,"*","NS")))</f>
        <v>***</v>
      </c>
      <c r="G54" s="296" t="s">
        <v>1473</v>
      </c>
      <c r="H54" s="4">
        <v>65.323451553505507</v>
      </c>
      <c r="I54" s="4">
        <v>59.295356887328232</v>
      </c>
      <c r="J54" s="4">
        <v>-6.0280946661773074</v>
      </c>
      <c r="K54" s="3759" t="str">
        <f>IF(       0.046&lt;0.01,"***",IF(       0.046&lt;0.05,"**",IF(       0.046&lt;0.1,"*","NS")))</f>
        <v>**</v>
      </c>
      <c r="L54" s="4">
        <v>53.011254682580812</v>
      </c>
      <c r="M54" s="4">
        <v>-12.312196870924744</v>
      </c>
      <c r="N54" s="3760" t="str">
        <f>IF(       0.001&lt;0.01,"***",IF(       0.001&lt;0.05,"**",IF(       0.001&lt;0.1,"*","NS")))</f>
        <v>***</v>
      </c>
      <c r="P54" s="296" t="s">
        <v>1592</v>
      </c>
      <c r="Q54" s="4">
        <v>63.375138241680787</v>
      </c>
      <c r="R54" s="4">
        <v>53.011254682580812</v>
      </c>
      <c r="S54" s="4">
        <v>-10.363883559099952</v>
      </c>
      <c r="T54" s="3761" t="str">
        <f>IF(       0.005&lt;0.01,"***",IF(       0.005&lt;0.05,"**",IF(       0.005&lt;0.1,"*","NS")))</f>
        <v>***</v>
      </c>
    </row>
    <row r="55" spans="1:20" x14ac:dyDescent="0.2">
      <c r="A55" s="296" t="s">
        <v>1370</v>
      </c>
      <c r="B55" s="4">
        <v>84.690390222649881</v>
      </c>
      <c r="C55" s="4">
        <v>84.867929293110706</v>
      </c>
      <c r="D55" s="4">
        <v>0.17753907046082382</v>
      </c>
      <c r="E55" s="3762" t="str">
        <f>IF(       0.947&lt;0.01,"***",IF(       0.947&lt;0.05,"**",IF(       0.947&lt;0.1,"*","NS")))</f>
        <v>NS</v>
      </c>
      <c r="G55" s="296" t="s">
        <v>1474</v>
      </c>
      <c r="H55" s="4">
        <v>84.690390222649881</v>
      </c>
      <c r="I55" s="4">
        <v>83.021685388838577</v>
      </c>
      <c r="J55" s="4">
        <v>-1.6687048338113053</v>
      </c>
      <c r="K55" s="3763" t="str">
        <f>IF(       0.6&lt;0.01,"***",IF(       0.6&lt;0.05,"**",IF(       0.6&lt;0.1,"*","NS")))</f>
        <v>NS</v>
      </c>
      <c r="L55" s="4">
        <v>89.88666513792603</v>
      </c>
      <c r="M55" s="4">
        <v>5.1962749152761676</v>
      </c>
      <c r="N55" s="3764" t="str">
        <f>IF(       0.203&lt;0.01,"***",IF(       0.203&lt;0.05,"**",IF(       0.203&lt;0.1,"*","NS")))</f>
        <v>NS</v>
      </c>
      <c r="P55" s="296" t="s">
        <v>1593</v>
      </c>
      <c r="Q55" s="4">
        <v>84.28506665347625</v>
      </c>
      <c r="R55" s="4">
        <v>89.88666513792603</v>
      </c>
      <c r="S55" s="4">
        <v>5.6015984844497799</v>
      </c>
      <c r="T55" s="3765" t="str">
        <f>IF(       0.168&lt;0.01,"***",IF(       0.168&lt;0.05,"**",IF(       0.168&lt;0.1,"*","NS")))</f>
        <v>NS</v>
      </c>
    </row>
    <row r="56" spans="1:20" x14ac:dyDescent="0.2">
      <c r="A56" s="296" t="s">
        <v>5835</v>
      </c>
      <c r="B56" s="4">
        <v>79.720955844679921</v>
      </c>
      <c r="C56" s="4">
        <v>74.091131382535607</v>
      </c>
      <c r="D56" s="4">
        <v>-5.6298244621443398</v>
      </c>
      <c r="E56" s="3766" t="str">
        <f>IF(       0&lt;0.01,"***",IF(       0&lt;0.05,"**",IF(       0&lt;0.1,"*","NS")))</f>
        <v>***</v>
      </c>
      <c r="G56" s="296" t="s">
        <v>5835</v>
      </c>
      <c r="H56" s="4">
        <v>79.720955844679921</v>
      </c>
      <c r="I56" s="4">
        <v>74.93266820706431</v>
      </c>
      <c r="J56" s="4">
        <v>-4.7882876376155741</v>
      </c>
      <c r="K56" s="3767" t="str">
        <f>IF(       0&lt;0.01,"***",IF(       0&lt;0.05,"**",IF(       0&lt;0.1,"*","NS")))</f>
        <v>***</v>
      </c>
      <c r="L56" s="4">
        <v>71.459461981868557</v>
      </c>
      <c r="M56" s="4">
        <v>-8.2614938628112551</v>
      </c>
      <c r="N56" s="3768" t="str">
        <f>IF(       0&lt;0.01,"***",IF(       0&lt;0.05,"**",IF(       0&lt;0.1,"*","NS")))</f>
        <v>***</v>
      </c>
      <c r="P56" s="296" t="s">
        <v>5835</v>
      </c>
      <c r="Q56" s="4">
        <v>78.531348939333427</v>
      </c>
      <c r="R56" s="4">
        <v>71.459461981868557</v>
      </c>
      <c r="S56" s="4">
        <v>-7.0718869574643382</v>
      </c>
      <c r="T56" s="3769" t="str">
        <f>IF(       0&lt;0.01,"***",IF(       0&lt;0.05,"**",IF(       0&lt;0.1,"*","NS")))</f>
        <v>***</v>
      </c>
    </row>
    <row r="58" spans="1:20" x14ac:dyDescent="0.2">
      <c r="A58" s="296" t="s">
        <v>1371</v>
      </c>
      <c r="G58" s="296" t="s">
        <v>1475</v>
      </c>
      <c r="P58" s="296" t="s">
        <v>1594</v>
      </c>
    </row>
    <row r="59" spans="1:20" s="3" customFormat="1" x14ac:dyDescent="0.2">
      <c r="A59" s="6180" t="s">
        <v>1372</v>
      </c>
      <c r="B59" s="6181" t="s">
        <v>1373</v>
      </c>
      <c r="C59" s="6182" t="s">
        <v>1374</v>
      </c>
      <c r="D59" s="6183" t="s">
        <v>1375</v>
      </c>
      <c r="E59" s="6184" t="s">
        <v>1376</v>
      </c>
      <c r="G59" s="6185" t="s">
        <v>1476</v>
      </c>
      <c r="H59" s="6186" t="s">
        <v>1477</v>
      </c>
      <c r="I59" s="6187" t="s">
        <v>1478</v>
      </c>
      <c r="J59" s="6188" t="s">
        <v>1479</v>
      </c>
      <c r="K59" s="6189" t="s">
        <v>1480</v>
      </c>
      <c r="L59" s="6190" t="s">
        <v>1525</v>
      </c>
      <c r="M59" s="6191" t="s">
        <v>1526</v>
      </c>
      <c r="N59" s="6192" t="s">
        <v>1527</v>
      </c>
      <c r="P59" s="6193" t="s">
        <v>1595</v>
      </c>
      <c r="Q59" s="6194" t="s">
        <v>1596</v>
      </c>
      <c r="R59" s="6195" t="s">
        <v>1597</v>
      </c>
      <c r="S59" s="6196" t="s">
        <v>1598</v>
      </c>
      <c r="T59" s="6197" t="s">
        <v>1599</v>
      </c>
    </row>
    <row r="60" spans="1:20" x14ac:dyDescent="0.2">
      <c r="A60" s="296" t="s">
        <v>1377</v>
      </c>
      <c r="B60" s="4">
        <v>75.741214030654518</v>
      </c>
      <c r="C60" s="4">
        <v>77.122785045210037</v>
      </c>
      <c r="D60" s="4">
        <v>1.38157101455553</v>
      </c>
      <c r="E60" s="3770" t="str">
        <f>IF(       0.568&lt;0.01,"***",IF(       0.568&lt;0.05,"**",IF(       0.568&lt;0.1,"*","NS")))</f>
        <v>NS</v>
      </c>
      <c r="G60" s="296" t="s">
        <v>1481</v>
      </c>
      <c r="H60" s="4">
        <v>75.741214030654518</v>
      </c>
      <c r="I60" s="4">
        <v>76.814832491092915</v>
      </c>
      <c r="J60" s="4">
        <v>1.0736184604383952</v>
      </c>
      <c r="K60" s="3771" t="str">
        <f>IF(       0.643&lt;0.01,"***",IF(       0.643&lt;0.05,"**",IF(       0.643&lt;0.1,"*","NS")))</f>
        <v>NS</v>
      </c>
      <c r="L60" s="4">
        <v>78.343303907887091</v>
      </c>
      <c r="M60" s="4">
        <v>2.6020898772325607</v>
      </c>
      <c r="N60" s="3772" t="str">
        <f>IF(       0.519&lt;0.01,"***",IF(       0.519&lt;0.05,"**",IF(       0.519&lt;0.1,"*","NS")))</f>
        <v>NS</v>
      </c>
      <c r="P60" s="296" t="s">
        <v>1600</v>
      </c>
      <c r="Q60" s="4">
        <v>76.138103322863913</v>
      </c>
      <c r="R60" s="4">
        <v>78.343303907887091</v>
      </c>
      <c r="S60" s="4">
        <v>2.2052005850231793</v>
      </c>
      <c r="T60" s="3773" t="str">
        <f>IF(       0.54&lt;0.01,"***",IF(       0.54&lt;0.05,"**",IF(       0.54&lt;0.1,"*","NS")))</f>
        <v>NS</v>
      </c>
    </row>
    <row r="61" spans="1:20" x14ac:dyDescent="0.2">
      <c r="A61" s="296" t="s">
        <v>1378</v>
      </c>
      <c r="B61" s="4">
        <v>43.812190702167392</v>
      </c>
      <c r="C61" s="4">
        <v>44.363972856936321</v>
      </c>
      <c r="D61" s="4">
        <v>0.55178215476892234</v>
      </c>
      <c r="E61" s="3774" t="str">
        <f>IF(       0.834&lt;0.01,"***",IF(       0.834&lt;0.05,"**",IF(       0.834&lt;0.1,"*","NS")))</f>
        <v>NS</v>
      </c>
      <c r="G61" s="296" t="s">
        <v>1482</v>
      </c>
      <c r="H61" s="4">
        <v>43.812190702167392</v>
      </c>
      <c r="I61" s="4">
        <v>44.009299964362548</v>
      </c>
      <c r="J61" s="4">
        <v>0.19710926219517449</v>
      </c>
      <c r="K61" s="3775" t="str">
        <f>IF(       0.943&lt;0.01,"***",IF(       0.943&lt;0.05,"**",IF(       0.943&lt;0.1,"*","NS")))</f>
        <v>NS</v>
      </c>
      <c r="L61" s="4">
        <v>45.287245406256659</v>
      </c>
      <c r="M61" s="4">
        <v>1.475054704089291</v>
      </c>
      <c r="N61" s="3776" t="str">
        <f>IF(       0.726&lt;0.01,"***",IF(       0.726&lt;0.05,"**",IF(       0.726&lt;0.1,"*","NS")))</f>
        <v>NS</v>
      </c>
      <c r="P61" s="296" t="s">
        <v>1601</v>
      </c>
      <c r="Q61" s="4">
        <v>43.872957235964293</v>
      </c>
      <c r="R61" s="4">
        <v>45.287245406256659</v>
      </c>
      <c r="S61" s="4">
        <v>1.4142881702923635</v>
      </c>
      <c r="T61" s="3777" t="str">
        <f>IF(       0.724&lt;0.01,"***",IF(       0.724&lt;0.05,"**",IF(       0.724&lt;0.1,"*","NS")))</f>
        <v>NS</v>
      </c>
    </row>
    <row r="62" spans="1:20" x14ac:dyDescent="0.2">
      <c r="A62" s="296" t="s">
        <v>1379</v>
      </c>
      <c r="B62" s="4">
        <v>83.039786542721345</v>
      </c>
      <c r="C62" s="4">
        <v>80.022269926622357</v>
      </c>
      <c r="D62" s="4">
        <v>-3.0175166160989821</v>
      </c>
      <c r="E62" s="3778" t="str">
        <f>IF(       0.294&lt;0.01,"***",IF(       0.294&lt;0.05,"**",IF(       0.294&lt;0.1,"*","NS")))</f>
        <v>NS</v>
      </c>
      <c r="G62" s="296" t="s">
        <v>1483</v>
      </c>
      <c r="H62" s="4">
        <v>83.039786542721345</v>
      </c>
      <c r="I62" s="4">
        <v>80.968570593804159</v>
      </c>
      <c r="J62" s="4">
        <v>-2.071215948917176</v>
      </c>
      <c r="K62" s="3779" t="str">
        <f>IF(       0.386&lt;0.01,"***",IF(       0.386&lt;0.05,"**",IF(       0.386&lt;0.1,"*","NS")))</f>
        <v>NS</v>
      </c>
      <c r="L62" s="4">
        <v>77.206886473779875</v>
      </c>
      <c r="M62" s="4">
        <v>-5.8329000689414423</v>
      </c>
      <c r="N62" s="3780" t="str">
        <f>IF(       0.256&lt;0.01,"***",IF(       0.256&lt;0.05,"**",IF(       0.256&lt;0.1,"*","NS")))</f>
        <v>NS</v>
      </c>
      <c r="P62" s="296" t="s">
        <v>1602</v>
      </c>
      <c r="Q62" s="4">
        <v>82.511523358030743</v>
      </c>
      <c r="R62" s="4">
        <v>77.206886473779875</v>
      </c>
      <c r="S62" s="4">
        <v>-5.3046368842508285</v>
      </c>
      <c r="T62" s="3781" t="str">
        <f>IF(       0.26&lt;0.01,"***",IF(       0.26&lt;0.05,"**",IF(       0.26&lt;0.1,"*","NS")))</f>
        <v>NS</v>
      </c>
    </row>
    <row r="63" spans="1:20" x14ac:dyDescent="0.2">
      <c r="A63" s="296" t="s">
        <v>1380</v>
      </c>
      <c r="B63" s="4">
        <v>94.922697922586124</v>
      </c>
      <c r="C63" s="4">
        <v>95.207712988087906</v>
      </c>
      <c r="D63" s="4">
        <v>0.2850150655017748</v>
      </c>
      <c r="E63" s="3782" t="str">
        <f>IF(       0.828&lt;0.01,"***",IF(       0.828&lt;0.05,"**",IF(       0.828&lt;0.1,"*","NS")))</f>
        <v>NS</v>
      </c>
      <c r="G63" s="296" t="s">
        <v>1484</v>
      </c>
      <c r="H63" s="4">
        <v>94.922697922586124</v>
      </c>
      <c r="I63" s="4">
        <v>95.324804585873835</v>
      </c>
      <c r="J63" s="4">
        <v>0.40210666328771077</v>
      </c>
      <c r="K63" s="3783" t="str">
        <f>IF(       0.751&lt;0.01,"***",IF(       0.751&lt;0.05,"**",IF(       0.751&lt;0.1,"*","NS")))</f>
        <v>NS</v>
      </c>
      <c r="L63" s="4">
        <v>94.786652582007932</v>
      </c>
      <c r="M63" s="4">
        <v>-0.13604534057820036</v>
      </c>
      <c r="N63" s="3784" t="str">
        <f>IF(       0.943&lt;0.01,"***",IF(       0.943&lt;0.05,"**",IF(       0.943&lt;0.1,"*","NS")))</f>
        <v>NS</v>
      </c>
      <c r="P63" s="296" t="s">
        <v>1603</v>
      </c>
      <c r="Q63" s="4">
        <v>95.044589043736252</v>
      </c>
      <c r="R63" s="4">
        <v>94.786652582007932</v>
      </c>
      <c r="S63" s="4">
        <v>-0.25793646172830398</v>
      </c>
      <c r="T63" s="3785" t="str">
        <f>IF(       0.876&lt;0.01,"***",IF(       0.876&lt;0.05,"**",IF(       0.876&lt;0.1,"*","NS")))</f>
        <v>NS</v>
      </c>
    </row>
    <row r="64" spans="1:20" x14ac:dyDescent="0.2">
      <c r="A64" s="296" t="s">
        <v>1381</v>
      </c>
      <c r="B64" s="4">
        <v>77.055493304558283</v>
      </c>
      <c r="C64" s="4">
        <v>73.281499964306064</v>
      </c>
      <c r="D64" s="4">
        <v>-3.7739933402522245</v>
      </c>
      <c r="E64" s="3786" t="str">
        <f>IF(       0.128&lt;0.01,"***",IF(       0.128&lt;0.05,"**",IF(       0.128&lt;0.1,"*","NS")))</f>
        <v>NS</v>
      </c>
      <c r="G64" s="296" t="s">
        <v>1485</v>
      </c>
      <c r="H64" s="4">
        <v>77.055493304558283</v>
      </c>
      <c r="I64" s="4">
        <v>73.039969639262338</v>
      </c>
      <c r="J64" s="4">
        <v>-4.0155236652959543</v>
      </c>
      <c r="K64" s="3787" t="str">
        <f>IF(       0.119&lt;0.01,"***",IF(       0.119&lt;0.05,"**",IF(       0.119&lt;0.1,"*","NS")))</f>
        <v>NS</v>
      </c>
      <c r="L64" s="4">
        <v>74.411950767024791</v>
      </c>
      <c r="M64" s="4">
        <v>-2.6435425375334241</v>
      </c>
      <c r="N64" s="3788" t="str">
        <f>IF(       0.623&lt;0.01,"***",IF(       0.623&lt;0.05,"**",IF(       0.623&lt;0.1,"*","NS")))</f>
        <v>NS</v>
      </c>
      <c r="P64" s="296" t="s">
        <v>1604</v>
      </c>
      <c r="Q64" s="4">
        <v>75.938458191190961</v>
      </c>
      <c r="R64" s="4">
        <v>74.411950767024791</v>
      </c>
      <c r="S64" s="4">
        <v>-1.5265074241662027</v>
      </c>
      <c r="T64" s="3789" t="str">
        <f>IF(       0.774&lt;0.01,"***",IF(       0.774&lt;0.05,"**",IF(       0.774&lt;0.1,"*","NS")))</f>
        <v>NS</v>
      </c>
    </row>
    <row r="65" spans="1:20" x14ac:dyDescent="0.2">
      <c r="A65" s="296" t="s">
        <v>1382</v>
      </c>
      <c r="B65" s="4">
        <v>92.230476039380719</v>
      </c>
      <c r="C65" s="4">
        <v>84.368297256379151</v>
      </c>
      <c r="D65" s="4">
        <v>-7.8621787830013892</v>
      </c>
      <c r="E65" s="3790" t="str">
        <f>IF(       0.001&lt;0.01,"***",IF(       0.001&lt;0.05,"**",IF(       0.001&lt;0.1,"*","NS")))</f>
        <v>***</v>
      </c>
      <c r="G65" s="296" t="s">
        <v>1486</v>
      </c>
      <c r="H65" s="4">
        <v>92.230476039380719</v>
      </c>
      <c r="I65" s="4">
        <v>84.397605032810503</v>
      </c>
      <c r="J65" s="4">
        <v>-7.8328710065704028</v>
      </c>
      <c r="K65" s="3791" t="str">
        <f>IF(       0.001&lt;0.01,"***",IF(       0.001&lt;0.05,"**",IF(       0.001&lt;0.1,"*","NS")))</f>
        <v>***</v>
      </c>
      <c r="L65" s="4">
        <v>84.278130072537834</v>
      </c>
      <c r="M65" s="4">
        <v>-7.9523459668430112</v>
      </c>
      <c r="N65" s="3792" t="str">
        <f>IF(       0.02&lt;0.01,"***",IF(       0.02&lt;0.05,"**",IF(       0.02&lt;0.1,"*","NS")))</f>
        <v>**</v>
      </c>
      <c r="P65" s="296" t="s">
        <v>1605</v>
      </c>
      <c r="Q65" s="4">
        <v>89.93994428456044</v>
      </c>
      <c r="R65" s="4">
        <v>84.278130072537834</v>
      </c>
      <c r="S65" s="4">
        <v>-5.6618142120227164</v>
      </c>
      <c r="T65" s="3793" t="str">
        <f>IF(       0.057&lt;0.01,"***",IF(       0.057&lt;0.05,"**",IF(       0.057&lt;0.1,"*","NS")))</f>
        <v>*</v>
      </c>
    </row>
    <row r="66" spans="1:20" x14ac:dyDescent="0.2">
      <c r="A66" s="296" t="s">
        <v>12</v>
      </c>
      <c r="B66" s="4" t="s">
        <v>6067</v>
      </c>
      <c r="C66" s="4" t="s">
        <v>6067</v>
      </c>
      <c r="D66" s="4" t="s">
        <v>6067</v>
      </c>
      <c r="E66" s="4" t="s">
        <v>6067</v>
      </c>
      <c r="G66" s="296" t="s">
        <v>12</v>
      </c>
      <c r="H66" s="4" t="s">
        <v>6067</v>
      </c>
      <c r="I66" s="4" t="s">
        <v>6067</v>
      </c>
      <c r="J66" s="4" t="s">
        <v>6067</v>
      </c>
      <c r="K66" s="4" t="s">
        <v>6067</v>
      </c>
      <c r="L66" s="4" t="s">
        <v>6067</v>
      </c>
      <c r="M66" s="4" t="s">
        <v>6067</v>
      </c>
      <c r="N66" s="4" t="s">
        <v>6067</v>
      </c>
      <c r="P66" s="296" t="s">
        <v>12</v>
      </c>
      <c r="Q66" s="4" t="s">
        <v>6067</v>
      </c>
      <c r="R66" s="4" t="s">
        <v>6067</v>
      </c>
      <c r="S66" s="4" t="s">
        <v>6067</v>
      </c>
      <c r="T66" s="4" t="s">
        <v>6067</v>
      </c>
    </row>
    <row r="67" spans="1:20" x14ac:dyDescent="0.2">
      <c r="A67" s="296" t="s">
        <v>1383</v>
      </c>
      <c r="B67" s="4">
        <v>86.682239651563009</v>
      </c>
      <c r="C67" s="4">
        <v>88.409039413796876</v>
      </c>
      <c r="D67" s="4">
        <v>1.7267997622338789</v>
      </c>
      <c r="E67" s="3794" t="str">
        <f>IF(       0.497&lt;0.01,"***",IF(       0.497&lt;0.05,"**",IF(       0.497&lt;0.1,"*","NS")))</f>
        <v>NS</v>
      </c>
      <c r="G67" s="296" t="s">
        <v>1487</v>
      </c>
      <c r="H67" s="4">
        <v>86.682239651563009</v>
      </c>
      <c r="I67" s="4">
        <v>89.328099656943266</v>
      </c>
      <c r="J67" s="4">
        <v>2.6458600053802614</v>
      </c>
      <c r="K67" s="3795" t="str">
        <f>IF(       0.277&lt;0.01,"***",IF(       0.277&lt;0.05,"**",IF(       0.277&lt;0.1,"*","NS")))</f>
        <v>NS</v>
      </c>
      <c r="L67" s="4">
        <v>85.594691243397946</v>
      </c>
      <c r="M67" s="4">
        <v>-1.0875484081650828</v>
      </c>
      <c r="N67" s="3796" t="str">
        <f>IF(       0.828&lt;0.01,"***",IF(       0.828&lt;0.05,"**",IF(       0.828&lt;0.1,"*","NS")))</f>
        <v>NS</v>
      </c>
      <c r="P67" s="296" t="s">
        <v>1606</v>
      </c>
      <c r="Q67" s="4">
        <v>87.162079835795936</v>
      </c>
      <c r="R67" s="4">
        <v>85.594691243397946</v>
      </c>
      <c r="S67" s="4">
        <v>-1.5673885923979465</v>
      </c>
      <c r="T67" s="3797" t="str">
        <f>IF(       0.748&lt;0.01,"***",IF(       0.748&lt;0.05,"**",IF(       0.748&lt;0.1,"*","NS")))</f>
        <v>NS</v>
      </c>
    </row>
    <row r="68" spans="1:20" x14ac:dyDescent="0.2">
      <c r="A68" s="296" t="s">
        <v>1384</v>
      </c>
      <c r="B68" s="4">
        <v>59.193909344411352</v>
      </c>
      <c r="C68" s="4">
        <v>60.69975253648343</v>
      </c>
      <c r="D68" s="4">
        <v>1.5058431920721107</v>
      </c>
      <c r="E68" s="3798" t="str">
        <f>IF(       0.611&lt;0.01,"***",IF(       0.611&lt;0.05,"**",IF(       0.611&lt;0.1,"*","NS")))</f>
        <v>NS</v>
      </c>
      <c r="G68" s="296" t="s">
        <v>1488</v>
      </c>
      <c r="H68" s="4">
        <v>59.193909344411352</v>
      </c>
      <c r="I68" s="4">
        <v>59.221884870774758</v>
      </c>
      <c r="J68" s="4">
        <v>2.7975526363428566E-2</v>
      </c>
      <c r="K68" s="3799" t="str">
        <f>IF(       0.993&lt;0.01,"***",IF(       0.993&lt;0.05,"**",IF(       0.993&lt;0.1,"*","NS")))</f>
        <v>NS</v>
      </c>
      <c r="L68" s="4">
        <v>63.001754038220653</v>
      </c>
      <c r="M68" s="4">
        <v>3.8078446938093489</v>
      </c>
      <c r="N68" s="3800" t="str">
        <f>IF(       0.385&lt;0.01,"***",IF(       0.385&lt;0.05,"**",IF(       0.385&lt;0.1,"*","NS")))</f>
        <v>NS</v>
      </c>
      <c r="P68" s="296" t="s">
        <v>1607</v>
      </c>
      <c r="Q68" s="4">
        <v>59.203880197966832</v>
      </c>
      <c r="R68" s="4">
        <v>63.001754038220653</v>
      </c>
      <c r="S68" s="4">
        <v>3.7978738402538408</v>
      </c>
      <c r="T68" s="3801" t="str">
        <f>IF(       0.362&lt;0.01,"***",IF(       0.362&lt;0.05,"**",IF(       0.362&lt;0.1,"*","NS")))</f>
        <v>NS</v>
      </c>
    </row>
    <row r="69" spans="1:20" x14ac:dyDescent="0.2">
      <c r="A69" s="296" t="s">
        <v>1385</v>
      </c>
      <c r="B69" s="4">
        <v>85.796406362413052</v>
      </c>
      <c r="C69" s="4">
        <v>82.245012395215383</v>
      </c>
      <c r="D69" s="4">
        <v>-3.5513939671976291</v>
      </c>
      <c r="E69" s="3802" t="str">
        <f>IF(       0.031&lt;0.01,"***",IF(       0.031&lt;0.05,"**",IF(       0.031&lt;0.1,"*","NS")))</f>
        <v>**</v>
      </c>
      <c r="G69" s="296" t="s">
        <v>1489</v>
      </c>
      <c r="H69" s="4">
        <v>85.796406362413052</v>
      </c>
      <c r="I69" s="4">
        <v>83.692531852640641</v>
      </c>
      <c r="J69" s="4">
        <v>-2.1038745097724414</v>
      </c>
      <c r="K69" s="3803" t="str">
        <f>IF(       0.215&lt;0.01,"***",IF(       0.215&lt;0.05,"**",IF(       0.215&lt;0.1,"*","NS")))</f>
        <v>NS</v>
      </c>
      <c r="L69" s="4">
        <v>77.501649991090829</v>
      </c>
      <c r="M69" s="4">
        <v>-8.2947563713222277</v>
      </c>
      <c r="N69" s="3804" t="str">
        <f>IF(       0.005&lt;0.01,"***",IF(       0.005&lt;0.05,"**",IF(       0.005&lt;0.1,"*","NS")))</f>
        <v>***</v>
      </c>
      <c r="P69" s="296" t="s">
        <v>1608</v>
      </c>
      <c r="Q69" s="4">
        <v>84.983334649832301</v>
      </c>
      <c r="R69" s="4">
        <v>77.501649991090829</v>
      </c>
      <c r="S69" s="4">
        <v>-7.4816846587413632</v>
      </c>
      <c r="T69" s="3805" t="str">
        <f>IF(       0.008&lt;0.01,"***",IF(       0.008&lt;0.05,"**",IF(       0.008&lt;0.1,"*","NS")))</f>
        <v>***</v>
      </c>
    </row>
    <row r="70" spans="1:20" x14ac:dyDescent="0.2">
      <c r="A70" s="296" t="s">
        <v>1386</v>
      </c>
      <c r="B70" s="4">
        <v>64.071495231071836</v>
      </c>
      <c r="C70" s="4">
        <v>64.313912047132277</v>
      </c>
      <c r="D70" s="4">
        <v>0.24241681606044324</v>
      </c>
      <c r="E70" s="3806" t="str">
        <f>IF(       0.926&lt;0.01,"***",IF(       0.926&lt;0.05,"**",IF(       0.926&lt;0.1,"*","NS")))</f>
        <v>NS</v>
      </c>
      <c r="G70" s="296" t="s">
        <v>1490</v>
      </c>
      <c r="H70" s="4">
        <v>64.071495231071836</v>
      </c>
      <c r="I70" s="4">
        <v>64.444884215241487</v>
      </c>
      <c r="J70" s="4">
        <v>0.37338898416965044</v>
      </c>
      <c r="K70" s="3807" t="str">
        <f>IF(       0.899&lt;0.01,"***",IF(       0.899&lt;0.05,"**",IF(       0.899&lt;0.1,"*","NS")))</f>
        <v>NS</v>
      </c>
      <c r="L70" s="4">
        <v>63.958496715330739</v>
      </c>
      <c r="M70" s="4">
        <v>-0.11299851574110038</v>
      </c>
      <c r="N70" s="3808" t="str">
        <f>IF(       0.976&lt;0.01,"***",IF(       0.976&lt;0.05,"**",IF(       0.976&lt;0.1,"*","NS")))</f>
        <v>NS</v>
      </c>
      <c r="P70" s="296" t="s">
        <v>1609</v>
      </c>
      <c r="Q70" s="4">
        <v>64.169197017118492</v>
      </c>
      <c r="R70" s="4">
        <v>63.958496715330739</v>
      </c>
      <c r="S70" s="4">
        <v>-0.21070030178774146</v>
      </c>
      <c r="T70" s="3809" t="str">
        <f>IF(       0.954&lt;0.01,"***",IF(       0.954&lt;0.05,"**",IF(       0.954&lt;0.1,"*","NS")))</f>
        <v>NS</v>
      </c>
    </row>
    <row r="71" spans="1:20" x14ac:dyDescent="0.2">
      <c r="A71" s="296" t="s">
        <v>1387</v>
      </c>
      <c r="B71" s="4">
        <v>64.285995393917645</v>
      </c>
      <c r="C71" s="4">
        <v>52.924780518182168</v>
      </c>
      <c r="D71" s="4">
        <v>-11.361214875735593</v>
      </c>
      <c r="E71" s="3810" t="str">
        <f>IF(       0.006&lt;0.01,"***",IF(       0.006&lt;0.05,"**",IF(       0.006&lt;0.1,"*","NS")))</f>
        <v>***</v>
      </c>
      <c r="G71" s="296" t="s">
        <v>1491</v>
      </c>
      <c r="H71" s="4">
        <v>64.285995393917645</v>
      </c>
      <c r="I71" s="4">
        <v>54.043872301173579</v>
      </c>
      <c r="J71" s="4">
        <v>-10.242123092743787</v>
      </c>
      <c r="K71" s="3811" t="str">
        <f>IF(       0.008&lt;0.01,"***",IF(       0.008&lt;0.05,"**",IF(       0.008&lt;0.1,"*","NS")))</f>
        <v>***</v>
      </c>
      <c r="L71" s="4">
        <v>50.154168815131001</v>
      </c>
      <c r="M71" s="4">
        <v>-14.131826578786598</v>
      </c>
      <c r="N71" s="3812" t="str">
        <f>IF(       0.022&lt;0.01,"***",IF(       0.022&lt;0.05,"**",IF(       0.022&lt;0.1,"*","NS")))</f>
        <v>**</v>
      </c>
      <c r="P71" s="296" t="s">
        <v>1610</v>
      </c>
      <c r="Q71" s="4">
        <v>61.762153698074407</v>
      </c>
      <c r="R71" s="4">
        <v>50.154168815131001</v>
      </c>
      <c r="S71" s="4">
        <v>-11.607984882943422</v>
      </c>
      <c r="T71" s="3813" t="str">
        <f>IF(       0.038&lt;0.01,"***",IF(       0.038&lt;0.05,"**",IF(       0.038&lt;0.1,"*","NS")))</f>
        <v>**</v>
      </c>
    </row>
    <row r="72" spans="1:20" x14ac:dyDescent="0.2">
      <c r="A72" s="296" t="s">
        <v>1388</v>
      </c>
      <c r="B72" s="4">
        <v>94.480307501820477</v>
      </c>
      <c r="C72" s="4">
        <v>95.866011369559061</v>
      </c>
      <c r="D72" s="4">
        <v>1.3857038677385771</v>
      </c>
      <c r="E72" s="3814" t="str">
        <f>IF(       0.113&lt;0.01,"***",IF(       0.113&lt;0.05,"**",IF(       0.113&lt;0.1,"*","NS")))</f>
        <v>NS</v>
      </c>
      <c r="G72" s="296" t="s">
        <v>1492</v>
      </c>
      <c r="H72" s="4">
        <v>94.480307501820477</v>
      </c>
      <c r="I72" s="4">
        <v>95.752431473835443</v>
      </c>
      <c r="J72" s="4">
        <v>1.2721239720149577</v>
      </c>
      <c r="K72" s="3815" t="str">
        <f>IF(       0.185&lt;0.01,"***",IF(       0.185&lt;0.05,"**",IF(       0.185&lt;0.1,"*","NS")))</f>
        <v>NS</v>
      </c>
      <c r="L72" s="4">
        <v>96.208616583664352</v>
      </c>
      <c r="M72" s="4">
        <v>1.7283090818438722</v>
      </c>
      <c r="N72" s="3816" t="str">
        <f>IF(       0.084&lt;0.01,"***",IF(       0.084&lt;0.05,"**",IF(       0.084&lt;0.1,"*","NS")))</f>
        <v>*</v>
      </c>
      <c r="P72" s="296" t="s">
        <v>1611</v>
      </c>
      <c r="Q72" s="4">
        <v>94.782558784049684</v>
      </c>
      <c r="R72" s="4">
        <v>96.208616583664352</v>
      </c>
      <c r="S72" s="4">
        <v>1.4260577996146699</v>
      </c>
      <c r="T72" s="3817" t="str">
        <f>IF(       0.113&lt;0.01,"***",IF(       0.113&lt;0.05,"**",IF(       0.113&lt;0.1,"*","NS")))</f>
        <v>NS</v>
      </c>
    </row>
    <row r="73" spans="1:20" x14ac:dyDescent="0.2">
      <c r="A73" s="296" t="s">
        <v>1389</v>
      </c>
      <c r="B73" s="4">
        <v>60.314440806542088</v>
      </c>
      <c r="C73" s="4">
        <v>54.562417685159033</v>
      </c>
      <c r="D73" s="4">
        <v>-5.7520231213831634</v>
      </c>
      <c r="E73" s="3818" t="str">
        <f>IF(       0.012&lt;0.01,"***",IF(       0.012&lt;0.05,"**",IF(       0.012&lt;0.1,"*","NS")))</f>
        <v>**</v>
      </c>
      <c r="G73" s="296" t="s">
        <v>1493</v>
      </c>
      <c r="H73" s="4">
        <v>60.314440806542088</v>
      </c>
      <c r="I73" s="4">
        <v>56.72607400595323</v>
      </c>
      <c r="J73" s="4">
        <v>-3.5883668005888589</v>
      </c>
      <c r="K73" s="3819" t="str">
        <f>IF(       0.164&lt;0.01,"***",IF(       0.164&lt;0.05,"**",IF(       0.164&lt;0.1,"*","NS")))</f>
        <v>NS</v>
      </c>
      <c r="L73" s="4">
        <v>49.697886961492308</v>
      </c>
      <c r="M73" s="4">
        <v>-10.616553845049886</v>
      </c>
      <c r="N73" s="3820" t="str">
        <f>IF(       0.003&lt;0.01,"***",IF(       0.003&lt;0.05,"**",IF(       0.003&lt;0.1,"*","NS")))</f>
        <v>***</v>
      </c>
      <c r="P73" s="296" t="s">
        <v>1612</v>
      </c>
      <c r="Q73" s="4">
        <v>59.094891571699897</v>
      </c>
      <c r="R73" s="4">
        <v>49.697886961492308</v>
      </c>
      <c r="S73" s="4">
        <v>-9.3970046102074196</v>
      </c>
      <c r="T73" s="3821" t="str">
        <f>IF(       0.008&lt;0.01,"***",IF(       0.008&lt;0.05,"**",IF(       0.008&lt;0.1,"*","NS")))</f>
        <v>***</v>
      </c>
    </row>
    <row r="74" spans="1:20" x14ac:dyDescent="0.2">
      <c r="A74" s="296" t="s">
        <v>1390</v>
      </c>
      <c r="B74" s="4">
        <v>83.543707217491402</v>
      </c>
      <c r="C74" s="4">
        <v>84.983733717845283</v>
      </c>
      <c r="D74" s="4">
        <v>1.4400265003538704</v>
      </c>
      <c r="E74" s="3822" t="str">
        <f>IF(       0.635&lt;0.01,"***",IF(       0.635&lt;0.05,"**",IF(       0.635&lt;0.1,"*","NS")))</f>
        <v>NS</v>
      </c>
      <c r="G74" s="296" t="s">
        <v>1494</v>
      </c>
      <c r="H74" s="4">
        <v>83.543707217491402</v>
      </c>
      <c r="I74" s="4">
        <v>84.243556787398092</v>
      </c>
      <c r="J74" s="4">
        <v>0.69984956990668867</v>
      </c>
      <c r="K74" s="3823" t="str">
        <f>IF(       0.837&lt;0.01,"***",IF(       0.837&lt;0.05,"**",IF(       0.837&lt;0.1,"*","NS")))</f>
        <v>NS</v>
      </c>
      <c r="L74" s="4">
        <v>87.432169446855141</v>
      </c>
      <c r="M74" s="4">
        <v>3.8884622293637277</v>
      </c>
      <c r="N74" s="3824" t="str">
        <f>IF(       0.263&lt;0.01,"***",IF(       0.263&lt;0.05,"**",IF(       0.263&lt;0.1,"*","NS")))</f>
        <v>NS</v>
      </c>
      <c r="P74" s="296" t="s">
        <v>1613</v>
      </c>
      <c r="Q74" s="4">
        <v>83.734145943260742</v>
      </c>
      <c r="R74" s="4">
        <v>87.432169446855141</v>
      </c>
      <c r="S74" s="4">
        <v>3.6980235035943281</v>
      </c>
      <c r="T74" s="3825" t="str">
        <f>IF(       0.249&lt;0.01,"***",IF(       0.249&lt;0.05,"**",IF(       0.249&lt;0.1,"*","NS")))</f>
        <v>NS</v>
      </c>
    </row>
    <row r="75" spans="1:20" x14ac:dyDescent="0.2">
      <c r="A75" s="296" t="s">
        <v>5835</v>
      </c>
      <c r="B75" s="4">
        <v>75.627803455704651</v>
      </c>
      <c r="C75" s="4">
        <v>71.984751231661889</v>
      </c>
      <c r="D75" s="4">
        <v>-3.6430522240428029</v>
      </c>
      <c r="E75" s="3826" t="str">
        <f>IF(       0&lt;0.01,"***",IF(       0&lt;0.05,"**",IF(       0&lt;0.1,"*","NS")))</f>
        <v>***</v>
      </c>
      <c r="G75" s="296" t="s">
        <v>5835</v>
      </c>
      <c r="H75" s="4">
        <v>75.627803455704651</v>
      </c>
      <c r="I75" s="4">
        <v>72.906903311765461</v>
      </c>
      <c r="J75" s="4">
        <v>-2.7209001439390015</v>
      </c>
      <c r="K75" s="3827" t="str">
        <f>IF(       0.001&lt;0.01,"***",IF(       0.001&lt;0.05,"**",IF(       0.001&lt;0.1,"*","NS")))</f>
        <v>***</v>
      </c>
      <c r="L75" s="4">
        <v>69.351602701519141</v>
      </c>
      <c r="M75" s="4">
        <v>-6.2762007541859113</v>
      </c>
      <c r="N75" s="3828" t="str">
        <f>IF(       0&lt;0.01,"***",IF(       0&lt;0.05,"**",IF(       0&lt;0.1,"*","NS")))</f>
        <v>***</v>
      </c>
      <c r="P75" s="296" t="s">
        <v>5835</v>
      </c>
      <c r="Q75" s="4">
        <v>74.835126695877861</v>
      </c>
      <c r="R75" s="4">
        <v>69.351602701519141</v>
      </c>
      <c r="S75" s="4">
        <v>-5.483523994358408</v>
      </c>
      <c r="T75" s="3829" t="str">
        <f>IF(       0&lt;0.01,"***",IF(       0&lt;0.05,"**",IF(       0&lt;0.1,"*","NS")))</f>
        <v>***</v>
      </c>
    </row>
    <row r="77" spans="1:20" x14ac:dyDescent="0.2">
      <c r="A77" s="296" t="s">
        <v>1391</v>
      </c>
      <c r="G77" s="296" t="s">
        <v>1495</v>
      </c>
      <c r="P77" s="296" t="s">
        <v>1614</v>
      </c>
    </row>
    <row r="78" spans="1:20" s="3" customFormat="1" x14ac:dyDescent="0.2">
      <c r="A78" s="6198" t="s">
        <v>1392</v>
      </c>
      <c r="B78" s="6199" t="s">
        <v>1393</v>
      </c>
      <c r="C78" s="6200" t="s">
        <v>1394</v>
      </c>
      <c r="D78" s="6201" t="s">
        <v>1395</v>
      </c>
      <c r="E78" s="6202" t="s">
        <v>1396</v>
      </c>
      <c r="G78" s="6203" t="s">
        <v>1496</v>
      </c>
      <c r="H78" s="6204" t="s">
        <v>1497</v>
      </c>
      <c r="I78" s="6205" t="s">
        <v>1498</v>
      </c>
      <c r="J78" s="6206" t="s">
        <v>1499</v>
      </c>
      <c r="K78" s="6207" t="s">
        <v>1500</v>
      </c>
      <c r="L78" s="6208" t="s">
        <v>1528</v>
      </c>
      <c r="M78" s="6209" t="s">
        <v>1529</v>
      </c>
      <c r="N78" s="6210" t="s">
        <v>1530</v>
      </c>
      <c r="P78" s="6211" t="s">
        <v>1615</v>
      </c>
      <c r="Q78" s="6212" t="s">
        <v>1616</v>
      </c>
      <c r="R78" s="6213" t="s">
        <v>1617</v>
      </c>
      <c r="S78" s="6214" t="s">
        <v>1618</v>
      </c>
      <c r="T78" s="6215" t="s">
        <v>1619</v>
      </c>
    </row>
    <row r="79" spans="1:20" x14ac:dyDescent="0.2">
      <c r="A79" s="296" t="s">
        <v>1397</v>
      </c>
      <c r="B79" s="4" t="s">
        <v>6067</v>
      </c>
      <c r="C79" s="4" t="s">
        <v>6067</v>
      </c>
      <c r="D79" s="4" t="s">
        <v>6067</v>
      </c>
      <c r="E79" s="4" t="s">
        <v>6067</v>
      </c>
      <c r="G79" s="296" t="s">
        <v>1501</v>
      </c>
      <c r="H79" s="4" t="s">
        <v>6067</v>
      </c>
      <c r="I79" s="4" t="s">
        <v>6067</v>
      </c>
      <c r="J79" s="4" t="s">
        <v>6067</v>
      </c>
      <c r="K79" s="4" t="s">
        <v>6067</v>
      </c>
      <c r="L79" s="4" t="s">
        <v>6067</v>
      </c>
      <c r="M79" s="4" t="s">
        <v>6067</v>
      </c>
      <c r="N79" s="4" t="s">
        <v>6067</v>
      </c>
      <c r="P79" s="296" t="s">
        <v>1620</v>
      </c>
      <c r="Q79" s="4" t="s">
        <v>6067</v>
      </c>
      <c r="R79" s="4" t="s">
        <v>6067</v>
      </c>
      <c r="S79" s="4" t="s">
        <v>6067</v>
      </c>
      <c r="T79" s="4" t="s">
        <v>6067</v>
      </c>
    </row>
    <row r="80" spans="1:20" x14ac:dyDescent="0.2">
      <c r="A80" s="296" t="s">
        <v>1398</v>
      </c>
      <c r="B80" s="4">
        <v>75.462558963218839</v>
      </c>
      <c r="C80" s="4">
        <v>68.922829130948926</v>
      </c>
      <c r="D80" s="4">
        <v>-6.5397298322699493</v>
      </c>
      <c r="E80" s="3830" t="str">
        <f>IF(       0.218&lt;0.01,"***",IF(       0.218&lt;0.05,"**",IF(       0.218&lt;0.1,"*","NS")))</f>
        <v>NS</v>
      </c>
      <c r="G80" s="296" t="s">
        <v>1502</v>
      </c>
      <c r="H80" s="4">
        <v>75.462558963218839</v>
      </c>
      <c r="I80" s="4">
        <v>69.099039223468964</v>
      </c>
      <c r="J80" s="4">
        <v>-6.3635197397498988</v>
      </c>
      <c r="K80" s="3831" t="str">
        <f>IF(       0.302&lt;0.01,"***",IF(       0.302&lt;0.05,"**",IF(       0.302&lt;0.1,"*","NS")))</f>
        <v>NS</v>
      </c>
      <c r="L80" s="4">
        <v>68.449390988165618</v>
      </c>
      <c r="M80" s="4">
        <v>-7.0131679750532028</v>
      </c>
      <c r="N80" s="3832" t="str">
        <f>IF(       0.359&lt;0.01,"***",IF(       0.359&lt;0.05,"**",IF(       0.359&lt;0.1,"*","NS")))</f>
        <v>NS</v>
      </c>
      <c r="P80" s="296" t="s">
        <v>1621</v>
      </c>
      <c r="Q80" s="4">
        <v>73.973347035037989</v>
      </c>
      <c r="R80" s="4">
        <v>68.449390988165618</v>
      </c>
      <c r="S80" s="4">
        <v>-5.5239560468723354</v>
      </c>
      <c r="T80" s="3833" t="str">
        <f>IF(       0.468&lt;0.01,"***",IF(       0.468&lt;0.05,"**",IF(       0.468&lt;0.1,"*","NS")))</f>
        <v>NS</v>
      </c>
    </row>
    <row r="81" spans="1:20" x14ac:dyDescent="0.2">
      <c r="A81" s="296" t="s">
        <v>1399</v>
      </c>
      <c r="B81" s="4" t="s">
        <v>6067</v>
      </c>
      <c r="C81" s="4" t="s">
        <v>6067</v>
      </c>
      <c r="D81" s="4" t="s">
        <v>6067</v>
      </c>
      <c r="E81" s="4" t="s">
        <v>6067</v>
      </c>
      <c r="G81" s="296" t="s">
        <v>1503</v>
      </c>
      <c r="H81" s="4" t="s">
        <v>6067</v>
      </c>
      <c r="I81" s="4" t="s">
        <v>6067</v>
      </c>
      <c r="J81" s="4" t="s">
        <v>6067</v>
      </c>
      <c r="K81" s="4" t="s">
        <v>6067</v>
      </c>
      <c r="L81" s="4" t="s">
        <v>6067</v>
      </c>
      <c r="M81" s="4" t="s">
        <v>6067</v>
      </c>
      <c r="N81" s="4" t="s">
        <v>6067</v>
      </c>
      <c r="P81" s="296" t="s">
        <v>1622</v>
      </c>
      <c r="Q81" s="4" t="s">
        <v>6067</v>
      </c>
      <c r="R81" s="4" t="s">
        <v>6067</v>
      </c>
      <c r="S81" s="4" t="s">
        <v>6067</v>
      </c>
      <c r="T81" s="4" t="s">
        <v>6067</v>
      </c>
    </row>
    <row r="82" spans="1:20" x14ac:dyDescent="0.2">
      <c r="A82" s="296" t="s">
        <v>1400</v>
      </c>
      <c r="B82" s="4" t="s">
        <v>6067</v>
      </c>
      <c r="C82" s="4" t="s">
        <v>6067</v>
      </c>
      <c r="D82" s="4" t="s">
        <v>6067</v>
      </c>
      <c r="E82" s="4" t="s">
        <v>6067</v>
      </c>
      <c r="G82" s="296" t="s">
        <v>1504</v>
      </c>
      <c r="H82" s="4" t="s">
        <v>6067</v>
      </c>
      <c r="I82" s="4" t="s">
        <v>6067</v>
      </c>
      <c r="J82" s="4" t="s">
        <v>6067</v>
      </c>
      <c r="K82" s="4" t="s">
        <v>6067</v>
      </c>
      <c r="L82" s="4" t="s">
        <v>6067</v>
      </c>
      <c r="M82" s="4" t="s">
        <v>6067</v>
      </c>
      <c r="N82" s="4" t="s">
        <v>6067</v>
      </c>
      <c r="P82" s="296" t="s">
        <v>1623</v>
      </c>
      <c r="Q82" s="4" t="s">
        <v>6067</v>
      </c>
      <c r="R82" s="4" t="s">
        <v>6067</v>
      </c>
      <c r="S82" s="4" t="s">
        <v>6067</v>
      </c>
      <c r="T82" s="4" t="s">
        <v>6067</v>
      </c>
    </row>
    <row r="83" spans="1:20" x14ac:dyDescent="0.2">
      <c r="A83" s="296" t="s">
        <v>1401</v>
      </c>
      <c r="B83" s="4" t="s">
        <v>6067</v>
      </c>
      <c r="C83" s="4" t="s">
        <v>6067</v>
      </c>
      <c r="D83" s="4" t="s">
        <v>6067</v>
      </c>
      <c r="E83" s="4" t="s">
        <v>6067</v>
      </c>
      <c r="G83" s="296" t="s">
        <v>1505</v>
      </c>
      <c r="H83" s="4" t="s">
        <v>6067</v>
      </c>
      <c r="I83" s="4" t="s">
        <v>6067</v>
      </c>
      <c r="J83" s="4" t="s">
        <v>6067</v>
      </c>
      <c r="K83" s="4" t="s">
        <v>6067</v>
      </c>
      <c r="L83" s="4" t="s">
        <v>6067</v>
      </c>
      <c r="M83" s="4" t="s">
        <v>6067</v>
      </c>
      <c r="N83" s="4" t="s">
        <v>6067</v>
      </c>
      <c r="P83" s="296" t="s">
        <v>1624</v>
      </c>
      <c r="Q83" s="4" t="s">
        <v>6067</v>
      </c>
      <c r="R83" s="4" t="s">
        <v>6067</v>
      </c>
      <c r="S83" s="4" t="s">
        <v>6067</v>
      </c>
      <c r="T83" s="4" t="s">
        <v>6067</v>
      </c>
    </row>
    <row r="84" spans="1:20" x14ac:dyDescent="0.2">
      <c r="A84" s="296" t="s">
        <v>1402</v>
      </c>
      <c r="B84" s="4" t="s">
        <v>6067</v>
      </c>
      <c r="C84" s="4" t="s">
        <v>6067</v>
      </c>
      <c r="D84" s="4" t="s">
        <v>6067</v>
      </c>
      <c r="E84" s="4" t="s">
        <v>6067</v>
      </c>
      <c r="G84" s="296" t="s">
        <v>1506</v>
      </c>
      <c r="H84" s="4" t="s">
        <v>6067</v>
      </c>
      <c r="I84" s="4" t="s">
        <v>6067</v>
      </c>
      <c r="J84" s="4" t="s">
        <v>6067</v>
      </c>
      <c r="K84" s="4" t="s">
        <v>6067</v>
      </c>
      <c r="L84" s="4" t="s">
        <v>6067</v>
      </c>
      <c r="M84" s="4" t="s">
        <v>6067</v>
      </c>
      <c r="N84" s="4" t="s">
        <v>6067</v>
      </c>
      <c r="P84" s="296" t="s">
        <v>1625</v>
      </c>
      <c r="Q84" s="4" t="s">
        <v>6067</v>
      </c>
      <c r="R84" s="4" t="s">
        <v>6067</v>
      </c>
      <c r="S84" s="4" t="s">
        <v>6067</v>
      </c>
      <c r="T84" s="4" t="s">
        <v>6067</v>
      </c>
    </row>
    <row r="85" spans="1:20" x14ac:dyDescent="0.2">
      <c r="A85" s="296" t="s">
        <v>1403</v>
      </c>
      <c r="B85" s="4">
        <v>99.008575144320986</v>
      </c>
      <c r="C85" s="4">
        <v>99.611181402231097</v>
      </c>
      <c r="D85" s="4">
        <v>0.60260625791010558</v>
      </c>
      <c r="E85" s="3834" t="str">
        <f>IF(       0.266&lt;0.01,"***",IF(       0.266&lt;0.05,"**",IF(       0.266&lt;0.1,"*","NS")))</f>
        <v>NS</v>
      </c>
      <c r="G85" s="296" t="s">
        <v>1507</v>
      </c>
      <c r="H85" s="4">
        <v>99.008575144320986</v>
      </c>
      <c r="I85" s="4">
        <v>99.527243804756594</v>
      </c>
      <c r="J85" s="4">
        <v>0.51866866043561033</v>
      </c>
      <c r="K85" s="3835" t="str">
        <f>IF(       0.351&lt;0.01,"***",IF(       0.351&lt;0.05,"**",IF(       0.351&lt;0.1,"*","NS")))</f>
        <v>NS</v>
      </c>
      <c r="L85" s="4">
        <v>100</v>
      </c>
      <c r="M85" s="4">
        <v>0.99142485567904359</v>
      </c>
      <c r="N85" s="3836" t="str">
        <f>IF(       0.066&lt;0.01,"***",IF(       0.066&lt;0.05,"**",IF(       0.066&lt;0.1,"*","NS")))</f>
        <v>*</v>
      </c>
      <c r="P85" s="296" t="s">
        <v>1626</v>
      </c>
      <c r="Q85" s="4">
        <v>99.085479844365679</v>
      </c>
      <c r="R85" s="4">
        <v>100</v>
      </c>
      <c r="S85" s="4">
        <v>0.91452015563435007</v>
      </c>
      <c r="T85" s="3837" t="str">
        <f>IF(       0.052&lt;0.01,"***",IF(       0.052&lt;0.05,"**",IF(       0.052&lt;0.1,"*","NS")))</f>
        <v>*</v>
      </c>
    </row>
    <row r="86" spans="1:20" x14ac:dyDescent="0.2">
      <c r="A86" s="296" t="s">
        <v>1404</v>
      </c>
      <c r="B86" s="4" t="s">
        <v>6067</v>
      </c>
      <c r="C86" s="4" t="s">
        <v>6067</v>
      </c>
      <c r="D86" s="4" t="s">
        <v>6067</v>
      </c>
      <c r="E86" s="4" t="s">
        <v>6067</v>
      </c>
      <c r="G86" s="296" t="s">
        <v>1508</v>
      </c>
      <c r="H86" s="4" t="s">
        <v>6067</v>
      </c>
      <c r="I86" s="4" t="s">
        <v>6067</v>
      </c>
      <c r="J86" s="4" t="s">
        <v>6067</v>
      </c>
      <c r="K86" s="4" t="s">
        <v>6067</v>
      </c>
      <c r="L86" s="4" t="s">
        <v>6067</v>
      </c>
      <c r="M86" s="4" t="s">
        <v>6067</v>
      </c>
      <c r="N86" s="4" t="s">
        <v>6067</v>
      </c>
      <c r="P86" s="296" t="s">
        <v>1627</v>
      </c>
      <c r="Q86" s="4" t="s">
        <v>6067</v>
      </c>
      <c r="R86" s="4" t="s">
        <v>6067</v>
      </c>
      <c r="S86" s="4" t="s">
        <v>6067</v>
      </c>
      <c r="T86" s="4" t="s">
        <v>6067</v>
      </c>
    </row>
    <row r="87" spans="1:20" x14ac:dyDescent="0.2">
      <c r="A87" s="296" t="s">
        <v>1405</v>
      </c>
      <c r="B87" s="4" t="s">
        <v>6067</v>
      </c>
      <c r="C87" s="4" t="s">
        <v>6067</v>
      </c>
      <c r="D87" s="4" t="s">
        <v>6067</v>
      </c>
      <c r="E87" s="4" t="s">
        <v>6067</v>
      </c>
      <c r="G87" s="296" t="s">
        <v>1509</v>
      </c>
      <c r="H87" s="4" t="s">
        <v>6067</v>
      </c>
      <c r="I87" s="4" t="s">
        <v>6067</v>
      </c>
      <c r="J87" s="4" t="s">
        <v>6067</v>
      </c>
      <c r="K87" s="4" t="s">
        <v>6067</v>
      </c>
      <c r="L87" s="4" t="s">
        <v>6067</v>
      </c>
      <c r="M87" s="4" t="s">
        <v>6067</v>
      </c>
      <c r="N87" s="4" t="s">
        <v>6067</v>
      </c>
      <c r="P87" s="296" t="s">
        <v>1628</v>
      </c>
      <c r="Q87" s="4" t="s">
        <v>6067</v>
      </c>
      <c r="R87" s="4" t="s">
        <v>6067</v>
      </c>
      <c r="S87" s="4" t="s">
        <v>6067</v>
      </c>
      <c r="T87" s="4" t="s">
        <v>6067</v>
      </c>
    </row>
    <row r="88" spans="1:20" x14ac:dyDescent="0.2">
      <c r="A88" s="296" t="s">
        <v>1406</v>
      </c>
      <c r="B88" s="4" t="s">
        <v>6067</v>
      </c>
      <c r="C88" s="4" t="s">
        <v>6067</v>
      </c>
      <c r="D88" s="4" t="s">
        <v>6067</v>
      </c>
      <c r="E88" s="4" t="s">
        <v>6067</v>
      </c>
      <c r="G88" s="296" t="s">
        <v>1510</v>
      </c>
      <c r="H88" s="4" t="s">
        <v>6067</v>
      </c>
      <c r="I88" s="4" t="s">
        <v>6067</v>
      </c>
      <c r="J88" s="4" t="s">
        <v>6067</v>
      </c>
      <c r="K88" s="4" t="s">
        <v>6067</v>
      </c>
      <c r="L88" s="4" t="s">
        <v>6067</v>
      </c>
      <c r="M88" s="4" t="s">
        <v>6067</v>
      </c>
      <c r="N88" s="4" t="s">
        <v>6067</v>
      </c>
      <c r="P88" s="296" t="s">
        <v>1629</v>
      </c>
      <c r="Q88" s="4" t="s">
        <v>6067</v>
      </c>
      <c r="R88" s="4" t="s">
        <v>6067</v>
      </c>
      <c r="S88" s="4" t="s">
        <v>6067</v>
      </c>
      <c r="T88" s="4" t="s">
        <v>6067</v>
      </c>
    </row>
    <row r="89" spans="1:20" x14ac:dyDescent="0.2">
      <c r="A89" s="296" t="s">
        <v>1407</v>
      </c>
      <c r="B89" s="4">
        <v>92.629438155936697</v>
      </c>
      <c r="C89" s="4">
        <v>84.582876319884193</v>
      </c>
      <c r="D89" s="4">
        <v>-8.0465618360524775</v>
      </c>
      <c r="E89" s="3838" t="str">
        <f>IF(       0.235&lt;0.01,"***",IF(       0.235&lt;0.05,"**",IF(       0.235&lt;0.1,"*","NS")))</f>
        <v>NS</v>
      </c>
      <c r="G89" s="296" t="s">
        <v>1511</v>
      </c>
      <c r="H89" s="4">
        <v>92.629438155936697</v>
      </c>
      <c r="I89" s="4">
        <v>86.637173955452795</v>
      </c>
      <c r="J89" s="4">
        <v>-5.9922642004839624</v>
      </c>
      <c r="K89" s="3839" t="str">
        <f>IF(       0.19&lt;0.01,"***",IF(       0.19&lt;0.05,"**",IF(       0.19&lt;0.1,"*","NS")))</f>
        <v>NS</v>
      </c>
      <c r="L89" s="4">
        <v>79.116262596381205</v>
      </c>
      <c r="M89" s="4">
        <v>-13.513175559555551</v>
      </c>
      <c r="N89" s="3840" t="str">
        <f>IF(       0.277&lt;0.01,"***",IF(       0.277&lt;0.05,"**",IF(       0.277&lt;0.1,"*","NS")))</f>
        <v>NS</v>
      </c>
      <c r="P89" s="296" t="s">
        <v>1630</v>
      </c>
      <c r="Q89" s="4">
        <v>91.555074336633112</v>
      </c>
      <c r="R89" s="4">
        <v>79.116262596381205</v>
      </c>
      <c r="S89" s="4">
        <v>-12.438811740252016</v>
      </c>
      <c r="T89" s="3841" t="str">
        <f>IF(       0.285&lt;0.01,"***",IF(       0.285&lt;0.05,"**",IF(       0.285&lt;0.1,"*","NS")))</f>
        <v>NS</v>
      </c>
    </row>
    <row r="90" spans="1:20" x14ac:dyDescent="0.2">
      <c r="A90" s="296" t="s">
        <v>1408</v>
      </c>
      <c r="B90" s="4" t="s">
        <v>6067</v>
      </c>
      <c r="C90" s="4" t="s">
        <v>6067</v>
      </c>
      <c r="D90" s="4" t="s">
        <v>6067</v>
      </c>
      <c r="E90" s="4" t="s">
        <v>6067</v>
      </c>
      <c r="G90" s="296" t="s">
        <v>1512</v>
      </c>
      <c r="H90" s="4" t="s">
        <v>6067</v>
      </c>
      <c r="I90" s="4" t="s">
        <v>6067</v>
      </c>
      <c r="J90" s="4" t="s">
        <v>6067</v>
      </c>
      <c r="K90" s="4" t="s">
        <v>6067</v>
      </c>
      <c r="L90" s="4" t="s">
        <v>6067</v>
      </c>
      <c r="M90" s="4" t="s">
        <v>6067</v>
      </c>
      <c r="N90" s="4" t="s">
        <v>6067</v>
      </c>
      <c r="P90" s="296" t="s">
        <v>1631</v>
      </c>
      <c r="Q90" s="4" t="s">
        <v>6067</v>
      </c>
      <c r="R90" s="4" t="s">
        <v>6067</v>
      </c>
      <c r="S90" s="4" t="s">
        <v>6067</v>
      </c>
      <c r="T90" s="4" t="s">
        <v>6067</v>
      </c>
    </row>
    <row r="91" spans="1:20" x14ac:dyDescent="0.2">
      <c r="A91" s="296" t="s">
        <v>1409</v>
      </c>
      <c r="B91" s="4" t="s">
        <v>6067</v>
      </c>
      <c r="C91" s="4" t="s">
        <v>6067</v>
      </c>
      <c r="D91" s="4" t="s">
        <v>6067</v>
      </c>
      <c r="E91" s="4" t="s">
        <v>6067</v>
      </c>
      <c r="G91" s="296" t="s">
        <v>1513</v>
      </c>
      <c r="H91" s="4" t="s">
        <v>6067</v>
      </c>
      <c r="I91" s="4" t="s">
        <v>6067</v>
      </c>
      <c r="J91" s="4" t="s">
        <v>6067</v>
      </c>
      <c r="K91" s="4" t="s">
        <v>6067</v>
      </c>
      <c r="L91" s="4" t="s">
        <v>6067</v>
      </c>
      <c r="M91" s="4" t="s">
        <v>6067</v>
      </c>
      <c r="N91" s="4" t="s">
        <v>6067</v>
      </c>
      <c r="P91" s="296" t="s">
        <v>1632</v>
      </c>
      <c r="Q91" s="4" t="s">
        <v>6067</v>
      </c>
      <c r="R91" s="4" t="s">
        <v>6067</v>
      </c>
      <c r="S91" s="4" t="s">
        <v>6067</v>
      </c>
      <c r="T91" s="4" t="s">
        <v>6067</v>
      </c>
    </row>
    <row r="92" spans="1:20" x14ac:dyDescent="0.2">
      <c r="A92" s="296" t="s">
        <v>1410</v>
      </c>
      <c r="B92" s="4">
        <v>88.696382506467103</v>
      </c>
      <c r="C92" s="4">
        <v>81.530132924852126</v>
      </c>
      <c r="D92" s="4">
        <v>-7.1662495816149434</v>
      </c>
      <c r="E92" s="3842" t="str">
        <f>IF(       0.159&lt;0.01,"***",IF(       0.159&lt;0.05,"**",IF(       0.159&lt;0.1,"*","NS")))</f>
        <v>NS</v>
      </c>
      <c r="G92" s="296" t="s">
        <v>1514</v>
      </c>
      <c r="H92" s="4">
        <v>88.696382506467103</v>
      </c>
      <c r="I92" s="4">
        <v>83.609901586378299</v>
      </c>
      <c r="J92" s="4">
        <v>-5.086480920088797</v>
      </c>
      <c r="K92" s="3843" t="str">
        <f>IF(       0.204&lt;0.01,"***",IF(       0.204&lt;0.05,"**",IF(       0.204&lt;0.1,"*","NS")))</f>
        <v>NS</v>
      </c>
      <c r="L92" s="4">
        <v>77.246195366468143</v>
      </c>
      <c r="M92" s="4">
        <v>-11.450187139998988</v>
      </c>
      <c r="N92" s="3844" t="str">
        <f>IF(       0.22&lt;0.01,"***",IF(       0.22&lt;0.05,"**",IF(       0.22&lt;0.1,"*","NS")))</f>
        <v>NS</v>
      </c>
      <c r="P92" s="296" t="s">
        <v>1633</v>
      </c>
      <c r="Q92" s="4">
        <v>87.226082857580337</v>
      </c>
      <c r="R92" s="4">
        <v>77.246195366468143</v>
      </c>
      <c r="S92" s="4">
        <v>-9.9798874911120858</v>
      </c>
      <c r="T92" s="3845" t="str">
        <f>IF(       0.252&lt;0.01,"***",IF(       0.252&lt;0.05,"**",IF(       0.252&lt;0.1,"*","NS")))</f>
        <v>NS</v>
      </c>
    </row>
    <row r="93" spans="1:20" x14ac:dyDescent="0.2">
      <c r="A93" s="296" t="s">
        <v>1411</v>
      </c>
      <c r="B93" s="4" t="s">
        <v>6067</v>
      </c>
      <c r="C93" s="4" t="s">
        <v>6067</v>
      </c>
      <c r="D93" s="4" t="s">
        <v>6067</v>
      </c>
      <c r="E93" s="4" t="s">
        <v>6067</v>
      </c>
      <c r="G93" s="296" t="s">
        <v>1515</v>
      </c>
      <c r="H93" s="4" t="s">
        <v>6067</v>
      </c>
      <c r="I93" s="4" t="s">
        <v>6067</v>
      </c>
      <c r="J93" s="4" t="s">
        <v>6067</v>
      </c>
      <c r="K93" s="4" t="s">
        <v>6067</v>
      </c>
      <c r="L93" s="4" t="s">
        <v>6067</v>
      </c>
      <c r="M93" s="4" t="s">
        <v>6067</v>
      </c>
      <c r="N93" s="4" t="s">
        <v>6067</v>
      </c>
      <c r="P93" s="296" t="s">
        <v>1634</v>
      </c>
      <c r="Q93" s="4" t="s">
        <v>6067</v>
      </c>
      <c r="R93" s="4" t="s">
        <v>6067</v>
      </c>
      <c r="S93" s="4" t="s">
        <v>6067</v>
      </c>
      <c r="T93" s="4" t="s">
        <v>6067</v>
      </c>
    </row>
    <row r="94" spans="1:20" x14ac:dyDescent="0.2">
      <c r="A94" s="296" t="s">
        <v>5835</v>
      </c>
      <c r="B94" s="4">
        <v>93.037754578042168</v>
      </c>
      <c r="C94" s="4">
        <v>87.946978030886228</v>
      </c>
      <c r="D94" s="4">
        <v>-5.0907765471557989</v>
      </c>
      <c r="E94" s="3846" t="str">
        <f>IF(       0&lt;0.01,"***",IF(       0&lt;0.05,"**",IF(       0&lt;0.1,"*","NS")))</f>
        <v>***</v>
      </c>
      <c r="G94" s="296" t="s">
        <v>5835</v>
      </c>
      <c r="H94" s="4">
        <v>93.037754578042168</v>
      </c>
      <c r="I94" s="4">
        <v>88.980279658333046</v>
      </c>
      <c r="J94" s="4">
        <v>-4.0574749197090689</v>
      </c>
      <c r="K94" s="3847" t="str">
        <f>IF(       0.001&lt;0.01,"***",IF(       0.001&lt;0.05,"**",IF(       0.001&lt;0.1,"*","NS")))</f>
        <v>***</v>
      </c>
      <c r="L94" s="4">
        <v>84.471351096076759</v>
      </c>
      <c r="M94" s="4">
        <v>-8.5664034819655157</v>
      </c>
      <c r="N94" s="3848" t="str">
        <f>IF(       0.002&lt;0.01,"***",IF(       0.002&lt;0.05,"**",IF(       0.002&lt;0.1,"*","NS")))</f>
        <v>***</v>
      </c>
      <c r="P94" s="296" t="s">
        <v>5835</v>
      </c>
      <c r="Q94" s="4">
        <v>92.240710027146363</v>
      </c>
      <c r="R94" s="4">
        <v>84.471351096076759</v>
      </c>
      <c r="S94" s="4">
        <v>-7.7693589310696733</v>
      </c>
      <c r="T94" s="3849" t="str">
        <f>IF(       0.004&lt;0.01,"***",IF(       0.004&lt;0.05,"**",IF(       0.004&lt;0.1,"*","NS")))</f>
        <v>***</v>
      </c>
    </row>
    <row r="96" spans="1:20" x14ac:dyDescent="0.2">
      <c r="A96" s="296" t="s">
        <v>5747</v>
      </c>
      <c r="G96" s="296" t="s">
        <v>5748</v>
      </c>
      <c r="P96" s="296" t="s">
        <v>5749</v>
      </c>
    </row>
    <row r="97" spans="1:20" s="3" customFormat="1" x14ac:dyDescent="0.2">
      <c r="A97" s="6216" t="s">
        <v>4427</v>
      </c>
      <c r="B97" s="6217" t="s">
        <v>4428</v>
      </c>
      <c r="C97" s="6218" t="s">
        <v>4429</v>
      </c>
      <c r="D97" s="6219" t="s">
        <v>4430</v>
      </c>
      <c r="E97" s="6220" t="s">
        <v>4431</v>
      </c>
      <c r="G97" s="6221" t="s">
        <v>4467</v>
      </c>
      <c r="H97" s="6222" t="s">
        <v>4468</v>
      </c>
      <c r="I97" s="6223" t="s">
        <v>4469</v>
      </c>
      <c r="J97" s="6224" t="s">
        <v>4470</v>
      </c>
      <c r="K97" s="6225" t="s">
        <v>4471</v>
      </c>
      <c r="L97" s="6226" t="s">
        <v>4507</v>
      </c>
      <c r="M97" s="6227" t="s">
        <v>4508</v>
      </c>
      <c r="N97" s="6228" t="s">
        <v>4509</v>
      </c>
      <c r="P97" s="6229" t="s">
        <v>4513</v>
      </c>
      <c r="Q97" s="6230" t="s">
        <v>4514</v>
      </c>
      <c r="R97" s="6231" t="s">
        <v>4515</v>
      </c>
      <c r="S97" s="6232" t="s">
        <v>4516</v>
      </c>
      <c r="T97" s="6233" t="s">
        <v>4517</v>
      </c>
    </row>
    <row r="98" spans="1:20" x14ac:dyDescent="0.2">
      <c r="A98" s="296" t="s">
        <v>4432</v>
      </c>
      <c r="B98" s="4">
        <v>81.42249608955882</v>
      </c>
      <c r="C98" s="4">
        <v>80.594560302067208</v>
      </c>
      <c r="D98" s="4">
        <v>-0.82793578749163121</v>
      </c>
      <c r="E98" s="3850" t="str">
        <f>IF(       0.745&lt;0.01,"***",IF(       0.745&lt;0.05,"**",IF(       0.745&lt;0.1,"*","NS")))</f>
        <v>NS</v>
      </c>
      <c r="G98" s="296" t="s">
        <v>4472</v>
      </c>
      <c r="H98" s="4">
        <v>81.42249608955882</v>
      </c>
      <c r="I98" s="4">
        <v>80.437801747973424</v>
      </c>
      <c r="J98" s="4">
        <v>-0.98469434158540126</v>
      </c>
      <c r="K98" s="3851" t="str">
        <f>IF(       0.694&lt;0.01,"***",IF(       0.694&lt;0.05,"**",IF(       0.694&lt;0.1,"*","NS")))</f>
        <v>NS</v>
      </c>
      <c r="L98" s="4">
        <v>81.76287822476084</v>
      </c>
      <c r="M98" s="4">
        <v>0.34038213520201782</v>
      </c>
      <c r="N98" s="3852" t="str">
        <f>IF(       0&lt;0.01,"***",IF(       0&lt;0.05,"**",IF(       0&lt;0.1,"*","NS")))</f>
        <v>***</v>
      </c>
      <c r="P98" s="296" t="s">
        <v>4518</v>
      </c>
      <c r="Q98" s="4">
        <v>81.137525892117409</v>
      </c>
      <c r="R98" s="4">
        <v>81.76287822476084</v>
      </c>
      <c r="S98" s="4">
        <v>0.6253523326434286</v>
      </c>
      <c r="T98" s="3853" t="str">
        <f>IF(       0.892&lt;0.01,"***",IF(       0.892&lt;0.05,"**",IF(       0.892&lt;0.1,"*","NS")))</f>
        <v>NS</v>
      </c>
    </row>
    <row r="99" spans="1:20" x14ac:dyDescent="0.2">
      <c r="A99" s="296" t="s">
        <v>4433</v>
      </c>
      <c r="B99" s="4">
        <v>53.625288759628603</v>
      </c>
      <c r="C99" s="4">
        <v>46.684549125876543</v>
      </c>
      <c r="D99" s="4">
        <v>-6.9407396337520746</v>
      </c>
      <c r="E99" s="3854" t="str">
        <f>IF(       0.085&lt;0.01,"***",IF(       0.085&lt;0.05,"**",IF(       0.085&lt;0.1,"*","NS")))</f>
        <v>*</v>
      </c>
      <c r="G99" s="296" t="s">
        <v>4473</v>
      </c>
      <c r="H99" s="4">
        <v>53.625288759628603</v>
      </c>
      <c r="I99" s="4">
        <v>46.776962155013678</v>
      </c>
      <c r="J99" s="4">
        <v>-6.8483266046148383</v>
      </c>
      <c r="K99" s="3855" t="str">
        <f>IF(       0.108&lt;0.01,"***",IF(       0.108&lt;0.05,"**",IF(       0.108&lt;0.1,"*","NS")))</f>
        <v>NS</v>
      </c>
      <c r="L99" s="4">
        <v>46.243551493869496</v>
      </c>
      <c r="M99" s="4">
        <v>-7.3817372657591624</v>
      </c>
      <c r="N99" s="3856" t="str">
        <f>IF(       0.945&lt;0.01,"***",IF(       0.945&lt;0.05,"**",IF(       0.945&lt;0.1,"*","NS")))</f>
        <v>NS</v>
      </c>
      <c r="P99" s="296" t="s">
        <v>4519</v>
      </c>
      <c r="Q99" s="4">
        <v>52.24615246233185</v>
      </c>
      <c r="R99" s="4">
        <v>46.243551493869496</v>
      </c>
      <c r="S99" s="4">
        <v>-6.0026009684622998</v>
      </c>
      <c r="T99" s="3857" t="str">
        <f>IF(       0.351&lt;0.01,"***",IF(       0.351&lt;0.05,"**",IF(       0.351&lt;0.1,"*","NS")))</f>
        <v>NS</v>
      </c>
    </row>
    <row r="100" spans="1:20" x14ac:dyDescent="0.2">
      <c r="A100" s="296" t="s">
        <v>4434</v>
      </c>
      <c r="B100" s="4">
        <v>87.045747329653068</v>
      </c>
      <c r="C100" s="4">
        <v>81.030924706491263</v>
      </c>
      <c r="D100" s="4">
        <v>-6.0148226231618054</v>
      </c>
      <c r="E100" s="3858" t="str">
        <f>IF(       0.124&lt;0.01,"***",IF(       0.124&lt;0.05,"**",IF(       0.124&lt;0.1,"*","NS")))</f>
        <v>NS</v>
      </c>
      <c r="G100" s="296" t="s">
        <v>4474</v>
      </c>
      <c r="H100" s="4">
        <v>87.045747329653068</v>
      </c>
      <c r="I100" s="4">
        <v>82.350770878109415</v>
      </c>
      <c r="J100" s="4">
        <v>-4.6949764515436296</v>
      </c>
      <c r="K100" s="3859" t="str">
        <f>IF(       0.146&lt;0.01,"***",IF(       0.146&lt;0.05,"**",IF(       0.146&lt;0.1,"*","NS")))</f>
        <v>NS</v>
      </c>
      <c r="L100" s="4">
        <v>74.715333017593778</v>
      </c>
      <c r="M100" s="4">
        <v>-12.330414312059363</v>
      </c>
      <c r="N100" s="3860" t="str">
        <f>IF(       0.265&lt;0.01,"***",IF(       0.265&lt;0.05,"**",IF(       0.265&lt;0.1,"*","NS")))</f>
        <v>NS</v>
      </c>
      <c r="P100" s="296" t="s">
        <v>4520</v>
      </c>
      <c r="Q100" s="4">
        <v>86.330973720681243</v>
      </c>
      <c r="R100" s="4">
        <v>74.715333017593778</v>
      </c>
      <c r="S100" s="4">
        <v>-11.615640703087273</v>
      </c>
      <c r="T100" s="3861" t="str">
        <f>IF(       0.129&lt;0.01,"***",IF(       0.129&lt;0.05,"**",IF(       0.129&lt;0.1,"*","NS")))</f>
        <v>NS</v>
      </c>
    </row>
    <row r="101" spans="1:20" x14ac:dyDescent="0.2">
      <c r="A101" s="296" t="s">
        <v>4435</v>
      </c>
      <c r="B101" s="4">
        <v>95.645509368658338</v>
      </c>
      <c r="C101" s="4">
        <v>95.48528562186479</v>
      </c>
      <c r="D101" s="4">
        <v>-0.16022374679354187</v>
      </c>
      <c r="E101" s="3862" t="str">
        <f>IF(       0.877&lt;0.01,"***",IF(       0.877&lt;0.05,"**",IF(       0.877&lt;0.1,"*","NS")))</f>
        <v>NS</v>
      </c>
      <c r="G101" s="296" t="s">
        <v>4475</v>
      </c>
      <c r="H101" s="4">
        <v>95.645509368658338</v>
      </c>
      <c r="I101" s="4">
        <v>95.766278285765836</v>
      </c>
      <c r="J101" s="4">
        <v>0.1207689171074969</v>
      </c>
      <c r="K101" s="3863" t="str">
        <f>IF(       0.905&lt;0.01,"***",IF(       0.905&lt;0.05,"**",IF(       0.905&lt;0.1,"*","NS")))</f>
        <v>NS</v>
      </c>
      <c r="L101" s="4">
        <v>93.585649002909719</v>
      </c>
      <c r="M101" s="4">
        <v>-2.0598603657486172</v>
      </c>
      <c r="N101" s="3864" t="str">
        <f>IF(       0.125&lt;0.01,"***",IF(       0.125&lt;0.05,"**",IF(       0.125&lt;0.1,"*","NS")))</f>
        <v>NS</v>
      </c>
      <c r="P101" s="296" t="s">
        <v>4521</v>
      </c>
      <c r="Q101" s="4">
        <v>95.67211332641557</v>
      </c>
      <c r="R101" s="4">
        <v>93.585649002909719</v>
      </c>
      <c r="S101" s="4">
        <v>-2.0864643235058797</v>
      </c>
      <c r="T101" s="3865" t="str">
        <f>IF(       0.39&lt;0.01,"***",IF(       0.39&lt;0.05,"**",IF(       0.39&lt;0.1,"*","NS")))</f>
        <v>NS</v>
      </c>
    </row>
    <row r="102" spans="1:20" x14ac:dyDescent="0.2">
      <c r="A102" s="296" t="s">
        <v>4436</v>
      </c>
      <c r="B102" s="4" t="s">
        <v>6067</v>
      </c>
      <c r="C102" s="4" t="s">
        <v>6067</v>
      </c>
      <c r="D102" s="4" t="s">
        <v>6067</v>
      </c>
      <c r="E102" s="4" t="s">
        <v>6067</v>
      </c>
      <c r="G102" s="296" t="s">
        <v>4476</v>
      </c>
      <c r="H102" s="4" t="s">
        <v>6067</v>
      </c>
      <c r="I102" s="4" t="s">
        <v>6067</v>
      </c>
      <c r="J102" s="4" t="s">
        <v>6067</v>
      </c>
      <c r="K102" s="4" t="s">
        <v>6067</v>
      </c>
      <c r="L102" s="4" t="s">
        <v>6067</v>
      </c>
      <c r="M102" s="4" t="s">
        <v>6067</v>
      </c>
      <c r="N102" s="4" t="s">
        <v>6067</v>
      </c>
      <c r="P102" s="296" t="s">
        <v>4522</v>
      </c>
      <c r="Q102" s="4" t="s">
        <v>6067</v>
      </c>
      <c r="R102" s="4" t="s">
        <v>6067</v>
      </c>
      <c r="S102" s="4" t="s">
        <v>6067</v>
      </c>
      <c r="T102" s="4" t="s">
        <v>6067</v>
      </c>
    </row>
    <row r="103" spans="1:20" x14ac:dyDescent="0.2">
      <c r="A103" s="296" t="s">
        <v>4437</v>
      </c>
      <c r="B103" s="4">
        <v>93.246660094109899</v>
      </c>
      <c r="C103" s="4">
        <v>81.044958747170924</v>
      </c>
      <c r="D103" s="4">
        <v>-12.201701346938753</v>
      </c>
      <c r="E103" s="3866" t="str">
        <f>IF(       0&lt;0.01,"***",IF(       0&lt;0.05,"**",IF(       0&lt;0.1,"*","NS")))</f>
        <v>***</v>
      </c>
      <c r="G103" s="296" t="s">
        <v>4477</v>
      </c>
      <c r="H103" s="4">
        <v>93.246660094109899</v>
      </c>
      <c r="I103" s="4">
        <v>81.488212983638633</v>
      </c>
      <c r="J103" s="4">
        <v>-11.758447110471403</v>
      </c>
      <c r="K103" s="3867" t="str">
        <f>IF(       0&lt;0.01,"***",IF(       0&lt;0.05,"**",IF(       0&lt;0.1,"*","NS")))</f>
        <v>***</v>
      </c>
      <c r="L103" s="4">
        <v>78.826030636512712</v>
      </c>
      <c r="M103" s="4">
        <v>-14.420629457596929</v>
      </c>
      <c r="N103" s="3868" t="str">
        <f>IF(       0.667&lt;0.01,"***",IF(       0.667&lt;0.05,"**",IF(       0.667&lt;0.1,"*","NS")))</f>
        <v>NS</v>
      </c>
      <c r="P103" s="296" t="s">
        <v>4523</v>
      </c>
      <c r="Q103" s="4">
        <v>90.859715192240131</v>
      </c>
      <c r="R103" s="4">
        <v>78.826030636512712</v>
      </c>
      <c r="S103" s="4">
        <v>-12.033684555727724</v>
      </c>
      <c r="T103" s="3869" t="str">
        <f>IF(       0.025&lt;0.01,"***",IF(       0.025&lt;0.05,"**",IF(       0.025&lt;0.1,"*","NS")))</f>
        <v>**</v>
      </c>
    </row>
    <row r="104" spans="1:20" x14ac:dyDescent="0.2">
      <c r="A104" s="296" t="s">
        <v>4438</v>
      </c>
      <c r="B104" s="4">
        <v>99.070402686800776</v>
      </c>
      <c r="C104" s="4">
        <v>99.5162202376994</v>
      </c>
      <c r="D104" s="4">
        <v>0.44581755089862735</v>
      </c>
      <c r="E104" s="3870" t="str">
        <f>IF(       0.402&lt;0.01,"***",IF(       0.402&lt;0.05,"**",IF(       0.402&lt;0.1,"*","NS")))</f>
        <v>NS</v>
      </c>
      <c r="G104" s="296" t="s">
        <v>4478</v>
      </c>
      <c r="H104" s="4">
        <v>99.070402686800776</v>
      </c>
      <c r="I104" s="4">
        <v>99.39645308976651</v>
      </c>
      <c r="J104" s="4">
        <v>0.32605040296572341</v>
      </c>
      <c r="K104" s="3871" t="str">
        <f>IF(       0.574&lt;0.01,"***",IF(       0.574&lt;0.05,"**",IF(       0.574&lt;0.1,"*","NS")))</f>
        <v>NS</v>
      </c>
      <c r="L104" s="4">
        <v>100</v>
      </c>
      <c r="M104" s="4">
        <v>0.92959731319922712</v>
      </c>
      <c r="N104" s="3872" t="str">
        <f>IF(       0.011&lt;0.01,"***",IF(       0.011&lt;0.05,"**",IF(       0.011&lt;0.1,"*","NS")))</f>
        <v>**</v>
      </c>
      <c r="P104" s="296" t="s">
        <v>4524</v>
      </c>
      <c r="Q104" s="4">
        <v>99.104378962429223</v>
      </c>
      <c r="R104" s="4">
        <v>100</v>
      </c>
      <c r="S104" s="4">
        <v>0.89562103757076617</v>
      </c>
      <c r="T104" s="3873" t="str">
        <f>IF(       0.046&lt;0.01,"***",IF(       0.046&lt;0.05,"**",IF(       0.046&lt;0.1,"*","NS")))</f>
        <v>**</v>
      </c>
    </row>
    <row r="105" spans="1:20" x14ac:dyDescent="0.2">
      <c r="A105" s="296" t="s">
        <v>4439</v>
      </c>
      <c r="B105" s="4" t="s">
        <v>6067</v>
      </c>
      <c r="C105" s="4" t="s">
        <v>6067</v>
      </c>
      <c r="D105" s="4" t="s">
        <v>6067</v>
      </c>
      <c r="E105" s="4" t="s">
        <v>6067</v>
      </c>
      <c r="G105" s="296" t="s">
        <v>4479</v>
      </c>
      <c r="H105" s="4" t="s">
        <v>6067</v>
      </c>
      <c r="I105" s="4" t="s">
        <v>6067</v>
      </c>
      <c r="J105" s="4" t="s">
        <v>6067</v>
      </c>
      <c r="K105" s="4" t="s">
        <v>6067</v>
      </c>
      <c r="L105" s="4" t="s">
        <v>6067</v>
      </c>
      <c r="M105" s="4" t="s">
        <v>6067</v>
      </c>
      <c r="N105" s="4" t="s">
        <v>6067</v>
      </c>
      <c r="P105" s="296" t="s">
        <v>4525</v>
      </c>
      <c r="Q105" s="4" t="s">
        <v>6067</v>
      </c>
      <c r="R105" s="4" t="s">
        <v>6067</v>
      </c>
      <c r="S105" s="4" t="s">
        <v>6067</v>
      </c>
      <c r="T105" s="4" t="s">
        <v>6067</v>
      </c>
    </row>
    <row r="106" spans="1:20" x14ac:dyDescent="0.2">
      <c r="A106" s="296" t="s">
        <v>4440</v>
      </c>
      <c r="B106" s="4">
        <v>63.54096666341529</v>
      </c>
      <c r="C106" s="4">
        <v>62.781096925629413</v>
      </c>
      <c r="D106" s="4">
        <v>-0.7598697377858894</v>
      </c>
      <c r="E106" s="3874" t="str">
        <f>IF(       0.825&lt;0.01,"***",IF(       0.825&lt;0.05,"**",IF(       0.825&lt;0.1,"*","NS")))</f>
        <v>NS</v>
      </c>
      <c r="G106" s="296" t="s">
        <v>4480</v>
      </c>
      <c r="H106" s="4">
        <v>63.54096666341529</v>
      </c>
      <c r="I106" s="4">
        <v>61.657936992248963</v>
      </c>
      <c r="J106" s="4">
        <v>-1.8830296711662922</v>
      </c>
      <c r="K106" s="3875" t="str">
        <f>IF(       0.637&lt;0.01,"***",IF(       0.637&lt;0.05,"**",IF(       0.637&lt;0.1,"*","NS")))</f>
        <v>NS</v>
      </c>
      <c r="L106" s="4">
        <v>65.750755662058808</v>
      </c>
      <c r="M106" s="4">
        <v>2.2097889986435031</v>
      </c>
      <c r="N106" s="3876" t="str">
        <f>IF(       0.333&lt;0.01,"***",IF(       0.333&lt;0.05,"**",IF(       0.333&lt;0.1,"*","NS")))</f>
        <v>NS</v>
      </c>
      <c r="P106" s="296" t="s">
        <v>4526</v>
      </c>
      <c r="Q106" s="4">
        <v>63.086399560543278</v>
      </c>
      <c r="R106" s="4">
        <v>65.750755662058808</v>
      </c>
      <c r="S106" s="4">
        <v>2.6643561015154771</v>
      </c>
      <c r="T106" s="3877" t="str">
        <f>IF(       0.542&lt;0.01,"***",IF(       0.542&lt;0.05,"**",IF(       0.542&lt;0.1,"*","NS")))</f>
        <v>NS</v>
      </c>
    </row>
    <row r="107" spans="1:20" x14ac:dyDescent="0.2">
      <c r="A107" s="296" t="s">
        <v>4441</v>
      </c>
      <c r="B107" s="4">
        <v>86.990552871560965</v>
      </c>
      <c r="C107" s="4">
        <v>82.951130656042864</v>
      </c>
      <c r="D107" s="4">
        <v>-4.0394222155180763</v>
      </c>
      <c r="E107" s="3878" t="str">
        <f>IF(       0.059&lt;0.01,"***",IF(       0.059&lt;0.05,"**",IF(       0.059&lt;0.1,"*","NS")))</f>
        <v>*</v>
      </c>
      <c r="G107" s="296" t="s">
        <v>4481</v>
      </c>
      <c r="H107" s="4">
        <v>86.990552871560965</v>
      </c>
      <c r="I107" s="4">
        <v>84.00460834026984</v>
      </c>
      <c r="J107" s="4">
        <v>-2.9859445312911652</v>
      </c>
      <c r="K107" s="3879" t="str">
        <f>IF(       0.141&lt;0.01,"***",IF(       0.141&lt;0.05,"**",IF(       0.141&lt;0.1,"*","NS")))</f>
        <v>NS</v>
      </c>
      <c r="L107" s="4">
        <v>76.769031134385557</v>
      </c>
      <c r="M107" s="4">
        <v>-10.221521737175379</v>
      </c>
      <c r="N107" s="3880" t="str">
        <f>IF(       0.624&lt;0.01,"***",IF(       0.624&lt;0.05,"**",IF(       0.624&lt;0.1,"*","NS")))</f>
        <v>NS</v>
      </c>
      <c r="P107" s="296" t="s">
        <v>4527</v>
      </c>
      <c r="Q107" s="4">
        <v>86.035226136635146</v>
      </c>
      <c r="R107" s="4">
        <v>76.769031134385557</v>
      </c>
      <c r="S107" s="4">
        <v>-9.2661950022495265</v>
      </c>
      <c r="T107" s="3881" t="str">
        <f>IF(       0.052&lt;0.01,"***",IF(       0.052&lt;0.05,"**",IF(       0.052&lt;0.1,"*","NS")))</f>
        <v>*</v>
      </c>
    </row>
    <row r="108" spans="1:20" x14ac:dyDescent="0.2">
      <c r="A108" s="296" t="s">
        <v>4442</v>
      </c>
      <c r="B108" s="4">
        <v>72.093042825601188</v>
      </c>
      <c r="C108" s="4">
        <v>66.749623833944284</v>
      </c>
      <c r="D108" s="4">
        <v>-5.3434189916569448</v>
      </c>
      <c r="E108" s="3882" t="str">
        <f>IF(       0.112&lt;0.01,"***",IF(       0.112&lt;0.05,"**",IF(       0.112&lt;0.1,"*","NS")))</f>
        <v>NS</v>
      </c>
      <c r="G108" s="296" t="s">
        <v>4482</v>
      </c>
      <c r="H108" s="4">
        <v>72.093042825601188</v>
      </c>
      <c r="I108" s="4">
        <v>68.42741736575789</v>
      </c>
      <c r="J108" s="4">
        <v>-3.665625459843362</v>
      </c>
      <c r="K108" s="3883" t="str">
        <f>IF(       0.311&lt;0.01,"***",IF(       0.311&lt;0.05,"**",IF(       0.311&lt;0.1,"*","NS")))</f>
        <v>NS</v>
      </c>
      <c r="L108" s="4">
        <v>59.982529525322022</v>
      </c>
      <c r="M108" s="4">
        <v>-12.110513300279019</v>
      </c>
      <c r="N108" s="3884" t="str">
        <f>IF(       0.04&lt;0.01,"***",IF(       0.04&lt;0.05,"**",IF(       0.04&lt;0.1,"*","NS")))</f>
        <v>**</v>
      </c>
      <c r="P108" s="296" t="s">
        <v>4528</v>
      </c>
      <c r="Q108" s="4">
        <v>71.530053790785502</v>
      </c>
      <c r="R108" s="4">
        <v>59.982529525322022</v>
      </c>
      <c r="S108" s="4">
        <v>-11.547524265463524</v>
      </c>
      <c r="T108" s="3885" t="str">
        <f>IF(       0.093&lt;0.01,"***",IF(       0.093&lt;0.05,"**",IF(       0.093&lt;0.1,"*","NS")))</f>
        <v>*</v>
      </c>
    </row>
    <row r="109" spans="1:20" x14ac:dyDescent="0.2">
      <c r="A109" s="296" t="s">
        <v>4443</v>
      </c>
      <c r="B109" s="4">
        <v>75.57602941083799</v>
      </c>
      <c r="C109" s="4">
        <v>62.868739658424047</v>
      </c>
      <c r="D109" s="4">
        <v>-12.707289752413844</v>
      </c>
      <c r="E109" s="3886" t="str">
        <f>IF(       0.001&lt;0.01,"***",IF(       0.001&lt;0.05,"**",IF(       0.001&lt;0.1,"*","NS")))</f>
        <v>***</v>
      </c>
      <c r="G109" s="296" t="s">
        <v>4483</v>
      </c>
      <c r="H109" s="4">
        <v>75.57602941083799</v>
      </c>
      <c r="I109" s="4">
        <v>64.214633495554793</v>
      </c>
      <c r="J109" s="4">
        <v>-11.361395915283003</v>
      </c>
      <c r="K109" s="3887" t="str">
        <f>IF(       0.002&lt;0.01,"***",IF(       0.002&lt;0.05,"**",IF(       0.002&lt;0.1,"*","NS")))</f>
        <v>***</v>
      </c>
      <c r="L109" s="4">
        <v>55.649673621877987</v>
      </c>
      <c r="M109" s="4">
        <v>-19.926355788959896</v>
      </c>
      <c r="N109" s="3888" t="str">
        <f>IF(       0.081&lt;0.01,"***",IF(       0.081&lt;0.05,"**",IF(       0.081&lt;0.1,"*","NS")))</f>
        <v>*</v>
      </c>
      <c r="P109" s="296" t="s">
        <v>4529</v>
      </c>
      <c r="Q109" s="4">
        <v>73.885881880100854</v>
      </c>
      <c r="R109" s="4">
        <v>55.649673621877987</v>
      </c>
      <c r="S109" s="4">
        <v>-18.236208258222948</v>
      </c>
      <c r="T109" s="3889" t="str">
        <f>IF(       0.022&lt;0.01,"***",IF(       0.022&lt;0.05,"**",IF(       0.022&lt;0.1,"*","NS")))</f>
        <v>**</v>
      </c>
    </row>
    <row r="110" spans="1:20" x14ac:dyDescent="0.2">
      <c r="A110" s="296" t="s">
        <v>4444</v>
      </c>
      <c r="B110" s="4">
        <v>94.965818317030241</v>
      </c>
      <c r="C110" s="4">
        <v>97.244389884597908</v>
      </c>
      <c r="D110" s="4">
        <v>2.2785715675676528</v>
      </c>
      <c r="E110" s="3890" t="str">
        <f>IF(       0.025&lt;0.01,"***",IF(       0.025&lt;0.05,"**",IF(       0.025&lt;0.1,"*","NS")))</f>
        <v>**</v>
      </c>
      <c r="G110" s="296" t="s">
        <v>4484</v>
      </c>
      <c r="H110" s="4">
        <v>94.965818317030241</v>
      </c>
      <c r="I110" s="4">
        <v>97.161584550726076</v>
      </c>
      <c r="J110" s="4">
        <v>2.1957662336958106</v>
      </c>
      <c r="K110" s="3891" t="str">
        <f>IF(       0.048&lt;0.01,"***",IF(       0.048&lt;0.05,"**",IF(       0.048&lt;0.1,"*","NS")))</f>
        <v>**</v>
      </c>
      <c r="L110" s="4">
        <v>97.569165653724923</v>
      </c>
      <c r="M110" s="4">
        <v>2.6033473366946818</v>
      </c>
      <c r="N110" s="3892" t="str">
        <f>IF(       0.015&lt;0.01,"***",IF(       0.015&lt;0.05,"**",IF(       0.015&lt;0.1,"*","NS")))</f>
        <v>**</v>
      </c>
      <c r="P110" s="296" t="s">
        <v>4530</v>
      </c>
      <c r="Q110" s="4">
        <v>95.267376525697927</v>
      </c>
      <c r="R110" s="4">
        <v>97.569165653724923</v>
      </c>
      <c r="S110" s="4">
        <v>2.3017891280269906</v>
      </c>
      <c r="T110" s="3893" t="str">
        <f>IF(       0.009&lt;0.01,"***",IF(       0.009&lt;0.05,"**",IF(       0.009&lt;0.1,"*","NS")))</f>
        <v>***</v>
      </c>
    </row>
    <row r="111" spans="1:20" x14ac:dyDescent="0.2">
      <c r="A111" s="296" t="s">
        <v>4445</v>
      </c>
      <c r="B111" s="4">
        <v>65.669277490349089</v>
      </c>
      <c r="C111" s="4">
        <v>59.430919201264032</v>
      </c>
      <c r="D111" s="4">
        <v>-6.2383582890851637</v>
      </c>
      <c r="E111" s="3894" t="str">
        <f>IF(       0.019&lt;0.01,"***",IF(       0.019&lt;0.05,"**",IF(       0.019&lt;0.1,"*","NS")))</f>
        <v>**</v>
      </c>
      <c r="G111" s="296" t="s">
        <v>4485</v>
      </c>
      <c r="H111" s="4">
        <v>65.669277490349089</v>
      </c>
      <c r="I111" s="4">
        <v>60.446820152715361</v>
      </c>
      <c r="J111" s="4">
        <v>-5.2224573376337338</v>
      </c>
      <c r="K111" s="3895" t="str">
        <f>IF(       0.062&lt;0.01,"***",IF(       0.062&lt;0.05,"**",IF(       0.062&lt;0.1,"*","NS")))</f>
        <v>*</v>
      </c>
      <c r="L111" s="4">
        <v>55.508315119218707</v>
      </c>
      <c r="M111" s="4">
        <v>-10.160962371130317</v>
      </c>
      <c r="N111" s="3896" t="str">
        <f>IF(       0.007&lt;0.01,"***",IF(       0.007&lt;0.05,"**",IF(       0.007&lt;0.1,"*","NS")))</f>
        <v>***</v>
      </c>
      <c r="P111" s="296" t="s">
        <v>4531</v>
      </c>
      <c r="Q111" s="4">
        <v>64.291870713408983</v>
      </c>
      <c r="R111" s="4">
        <v>55.508315119218707</v>
      </c>
      <c r="S111" s="4">
        <v>-8.7835555941902399</v>
      </c>
      <c r="T111" s="3897" t="str">
        <f>IF(       0.078&lt;0.01,"***",IF(       0.078&lt;0.05,"**",IF(       0.078&lt;0.1,"*","NS")))</f>
        <v>*</v>
      </c>
    </row>
    <row r="112" spans="1:20" x14ac:dyDescent="0.2">
      <c r="A112" s="296" t="s">
        <v>4446</v>
      </c>
      <c r="B112" s="4">
        <v>85.884680659803976</v>
      </c>
      <c r="C112" s="4">
        <v>86.015539368666111</v>
      </c>
      <c r="D112" s="4">
        <v>0.13085870886213355</v>
      </c>
      <c r="E112" s="3898" t="str">
        <f>IF(       0.975&lt;0.01,"***",IF(       0.975&lt;0.05,"**",IF(       0.975&lt;0.1,"*","NS")))</f>
        <v>NS</v>
      </c>
      <c r="G112" s="296" t="s">
        <v>4486</v>
      </c>
      <c r="H112" s="4">
        <v>85.884680659803976</v>
      </c>
      <c r="I112" s="4">
        <v>85.675937330152152</v>
      </c>
      <c r="J112" s="4">
        <v>-0.20874332965178324</v>
      </c>
      <c r="K112" s="3899" t="str">
        <f>IF(       0.963&lt;0.01,"***",IF(       0.963&lt;0.05,"**",IF(       0.963&lt;0.1,"*","NS")))</f>
        <v>NS</v>
      </c>
      <c r="L112" s="4">
        <v>88.018399709019903</v>
      </c>
      <c r="M112" s="4">
        <v>2.1337190492159066</v>
      </c>
      <c r="N112" s="3900" t="str">
        <f>IF(       0.046&lt;0.01,"***",IF(       0.046&lt;0.05,"**",IF(       0.046&lt;0.1,"*","NS")))</f>
        <v>**</v>
      </c>
      <c r="P112" s="296" t="s">
        <v>4532</v>
      </c>
      <c r="Q112" s="4">
        <v>85.845915033870625</v>
      </c>
      <c r="R112" s="4">
        <v>88.018399709019903</v>
      </c>
      <c r="S112" s="4">
        <v>2.1724846751493176</v>
      </c>
      <c r="T112" s="3901" t="str">
        <f>IF(       0.73&lt;0.01,"***",IF(       0.73&lt;0.05,"**",IF(       0.73&lt;0.1,"*","NS")))</f>
        <v>NS</v>
      </c>
    </row>
    <row r="113" spans="1:20" x14ac:dyDescent="0.2">
      <c r="A113" s="296" t="s">
        <v>5835</v>
      </c>
      <c r="B113" s="4">
        <v>80.508781506952474</v>
      </c>
      <c r="C113" s="4">
        <v>74.332737868251343</v>
      </c>
      <c r="D113" s="4">
        <v>-6.1760436387009925</v>
      </c>
      <c r="E113" s="3902" t="str">
        <f>IF(       0&lt;0.01,"***",IF(       0&lt;0.05,"**",IF(       0&lt;0.1,"*","NS")))</f>
        <v>***</v>
      </c>
      <c r="G113" s="296" t="s">
        <v>5835</v>
      </c>
      <c r="H113" s="4">
        <v>80.508781506952474</v>
      </c>
      <c r="I113" s="4">
        <v>75.081953702038987</v>
      </c>
      <c r="J113" s="4">
        <v>-5.4268278049134109</v>
      </c>
      <c r="K113" s="3903" t="str">
        <f>IF(       0&lt;0.01,"***",IF(       0&lt;0.05,"**",IF(       0&lt;0.1,"*","NS")))</f>
        <v>***</v>
      </c>
      <c r="L113" s="4">
        <v>70.660775056436535</v>
      </c>
      <c r="M113" s="4">
        <v>-9.8480064505164595</v>
      </c>
      <c r="N113" s="3904" t="str">
        <f>IF(       0&lt;0.01,"***",IF(       0&lt;0.05,"**",IF(       0&lt;0.1,"*","NS")))</f>
        <v>***</v>
      </c>
      <c r="P113" s="296" t="s">
        <v>5835</v>
      </c>
      <c r="Q113" s="4">
        <v>79.470141139856281</v>
      </c>
      <c r="R113" s="4">
        <v>70.660775056436535</v>
      </c>
      <c r="S113" s="4">
        <v>-8.8093660834202527</v>
      </c>
      <c r="T113" s="3905" t="str">
        <f>IF(       0&lt;0.01,"***",IF(       0&lt;0.05,"**",IF(       0&lt;0.1,"*","NS")))</f>
        <v>***</v>
      </c>
    </row>
    <row r="115" spans="1:20" x14ac:dyDescent="0.2">
      <c r="A115" s="296" t="s">
        <v>5786</v>
      </c>
      <c r="G115" s="296" t="s">
        <v>5787</v>
      </c>
      <c r="P115" s="296" t="s">
        <v>5788</v>
      </c>
    </row>
    <row r="116" spans="1:20" s="3" customFormat="1" x14ac:dyDescent="0.2">
      <c r="A116" s="6234" t="s">
        <v>4447</v>
      </c>
      <c r="B116" s="6235" t="s">
        <v>4448</v>
      </c>
      <c r="C116" s="6236" t="s">
        <v>4449</v>
      </c>
      <c r="D116" s="6237" t="s">
        <v>4450</v>
      </c>
      <c r="E116" s="6238" t="s">
        <v>4451</v>
      </c>
      <c r="G116" s="6239" t="s">
        <v>4487</v>
      </c>
      <c r="H116" s="6240" t="s">
        <v>4488</v>
      </c>
      <c r="I116" s="6241" t="s">
        <v>4489</v>
      </c>
      <c r="J116" s="6242" t="s">
        <v>4490</v>
      </c>
      <c r="K116" s="6243" t="s">
        <v>4491</v>
      </c>
      <c r="L116" s="6244" t="s">
        <v>4510</v>
      </c>
      <c r="M116" s="6245" t="s">
        <v>4511</v>
      </c>
      <c r="N116" s="6246" t="s">
        <v>4512</v>
      </c>
      <c r="P116" s="6247" t="s">
        <v>4533</v>
      </c>
      <c r="Q116" s="6248" t="s">
        <v>4534</v>
      </c>
      <c r="R116" s="6249" t="s">
        <v>4535</v>
      </c>
      <c r="S116" s="6250" t="s">
        <v>4536</v>
      </c>
      <c r="T116" s="6251" t="s">
        <v>4537</v>
      </c>
    </row>
    <row r="117" spans="1:20" x14ac:dyDescent="0.2">
      <c r="A117" s="296" t="s">
        <v>4452</v>
      </c>
      <c r="B117" s="4">
        <v>79.48147975986825</v>
      </c>
      <c r="C117" s="4">
        <v>83.171790808990039</v>
      </c>
      <c r="D117" s="4">
        <v>3.6903110491217692</v>
      </c>
      <c r="E117" s="3906" t="str">
        <f>IF(       0.403&lt;0.01,"***",IF(       0.403&lt;0.05,"**",IF(       0.403&lt;0.1,"*","NS")))</f>
        <v>NS</v>
      </c>
      <c r="G117" s="296" t="s">
        <v>4492</v>
      </c>
      <c r="H117" s="4">
        <v>79.48147975986825</v>
      </c>
      <c r="I117" s="4">
        <v>82.87849448054854</v>
      </c>
      <c r="J117" s="4">
        <v>3.3970147206802981</v>
      </c>
      <c r="K117" s="3907" t="str">
        <f>IF(       0.478&lt;0.01,"***",IF(       0.478&lt;0.05,"**",IF(       0.478&lt;0.1,"*","NS")))</f>
        <v>NS</v>
      </c>
      <c r="L117" s="4">
        <v>83.77041349195548</v>
      </c>
      <c r="M117" s="4">
        <v>4.2889337320872309</v>
      </c>
      <c r="N117" s="3908" t="str">
        <f>IF(       0.4&lt;0.01,"***",IF(       0.4&lt;0.05,"**",IF(       0.4&lt;0.1,"*","NS")))</f>
        <v>NS</v>
      </c>
      <c r="P117" s="296" t="s">
        <v>4538</v>
      </c>
      <c r="Q117" s="4">
        <v>81.707016412171512</v>
      </c>
      <c r="R117" s="4">
        <v>83.77041349195548</v>
      </c>
      <c r="S117" s="4">
        <v>2.0633970797839742</v>
      </c>
      <c r="T117" s="3909" t="str">
        <f>IF(       0.617&lt;0.01,"***",IF(       0.617&lt;0.05,"**",IF(       0.617&lt;0.1,"*","NS")))</f>
        <v>NS</v>
      </c>
    </row>
    <row r="118" spans="1:20" x14ac:dyDescent="0.2">
      <c r="A118" s="296" t="s">
        <v>4453</v>
      </c>
      <c r="B118" s="4">
        <v>49.597685223568241</v>
      </c>
      <c r="C118" s="4">
        <v>52.656162419238193</v>
      </c>
      <c r="D118" s="4">
        <v>3.0584771956699228</v>
      </c>
      <c r="E118" s="3910" t="str">
        <f>IF(       0.527&lt;0.01,"***",IF(       0.527&lt;0.05,"**",IF(       0.527&lt;0.1,"*","NS")))</f>
        <v>NS</v>
      </c>
      <c r="G118" s="296" t="s">
        <v>4493</v>
      </c>
      <c r="H118" s="4">
        <v>49.597685223568241</v>
      </c>
      <c r="I118" s="4">
        <v>53.002543280021222</v>
      </c>
      <c r="J118" s="4">
        <v>3.4048580564529765</v>
      </c>
      <c r="K118" s="3911" t="str">
        <f>IF(       0.476&lt;0.01,"***",IF(       0.476&lt;0.05,"**",IF(       0.476&lt;0.1,"*","NS")))</f>
        <v>NS</v>
      </c>
      <c r="L118" s="4">
        <v>52.068755077077697</v>
      </c>
      <c r="M118" s="4">
        <v>2.4710698535094524</v>
      </c>
      <c r="N118" s="3912" t="str">
        <f>IF(       0.677&lt;0.01,"***",IF(       0.677&lt;0.05,"**",IF(       0.677&lt;0.1,"*","NS")))</f>
        <v>NS</v>
      </c>
      <c r="P118" s="296" t="s">
        <v>4539</v>
      </c>
      <c r="Q118" s="4">
        <v>51.642525865908553</v>
      </c>
      <c r="R118" s="4">
        <v>52.068755077077697</v>
      </c>
      <c r="S118" s="4">
        <v>0.42622921116914075</v>
      </c>
      <c r="T118" s="3913" t="str">
        <f>IF(       0.922&lt;0.01,"***",IF(       0.922&lt;0.05,"**",IF(       0.922&lt;0.1,"*","NS")))</f>
        <v>NS</v>
      </c>
    </row>
    <row r="119" spans="1:20" x14ac:dyDescent="0.2">
      <c r="A119" s="296" t="s">
        <v>4454</v>
      </c>
      <c r="B119" s="4">
        <v>83.818636741839043</v>
      </c>
      <c r="C119" s="4">
        <v>81.976687054989711</v>
      </c>
      <c r="D119" s="4">
        <v>-1.8419496868493339</v>
      </c>
      <c r="E119" s="3914" t="str">
        <f>IF(       0.71&lt;0.01,"***",IF(       0.71&lt;0.05,"**",IF(       0.71&lt;0.1,"*","NS")))</f>
        <v>NS</v>
      </c>
      <c r="G119" s="296" t="s">
        <v>4494</v>
      </c>
      <c r="H119" s="4">
        <v>83.818636741839043</v>
      </c>
      <c r="I119" s="4">
        <v>82.396530192731191</v>
      </c>
      <c r="J119" s="4">
        <v>-1.4221065491078617</v>
      </c>
      <c r="K119" s="3915" t="str">
        <f>IF(       0.749&lt;0.01,"***",IF(       0.749&lt;0.05,"**",IF(       0.749&lt;0.1,"*","NS")))</f>
        <v>NS</v>
      </c>
      <c r="L119" s="4">
        <v>81.030351841335886</v>
      </c>
      <c r="M119" s="4">
        <v>-2.7882849005031716</v>
      </c>
      <c r="N119" s="3916" t="str">
        <f>IF(       0.688&lt;0.01,"***",IF(       0.688&lt;0.05,"**",IF(       0.688&lt;0.1,"*","NS")))</f>
        <v>NS</v>
      </c>
      <c r="P119" s="296" t="s">
        <v>4540</v>
      </c>
      <c r="Q119" s="4">
        <v>83.137868982806935</v>
      </c>
      <c r="R119" s="4">
        <v>81.030351841335886</v>
      </c>
      <c r="S119" s="4">
        <v>-2.1075171414710758</v>
      </c>
      <c r="T119" s="3917" t="str">
        <f>IF(       0.695&lt;0.01,"***",IF(       0.695&lt;0.05,"**",IF(       0.695&lt;0.1,"*","NS")))</f>
        <v>NS</v>
      </c>
    </row>
    <row r="120" spans="1:20" x14ac:dyDescent="0.2">
      <c r="A120" s="296" t="s">
        <v>4455</v>
      </c>
      <c r="B120" s="4">
        <v>93.918980900737637</v>
      </c>
      <c r="C120" s="4">
        <v>95.306412759068493</v>
      </c>
      <c r="D120" s="4">
        <v>1.3874318583308412</v>
      </c>
      <c r="E120" s="3918" t="str">
        <f>IF(       0.616&lt;0.01,"***",IF(       0.616&lt;0.05,"**",IF(       0.616&lt;0.1,"*","NS")))</f>
        <v>NS</v>
      </c>
      <c r="G120" s="296" t="s">
        <v>4495</v>
      </c>
      <c r="H120" s="4">
        <v>93.918980900737637</v>
      </c>
      <c r="I120" s="4">
        <v>95.339347668008386</v>
      </c>
      <c r="J120" s="4">
        <v>1.4203667672707434</v>
      </c>
      <c r="K120" s="3919" t="str">
        <f>IF(       0.602&lt;0.01,"***",IF(       0.602&lt;0.05,"**",IF(       0.602&lt;0.1,"*","NS")))</f>
        <v>NS</v>
      </c>
      <c r="L120" s="4">
        <v>95.229703286899834</v>
      </c>
      <c r="M120" s="4">
        <v>1.3107223861621986</v>
      </c>
      <c r="N120" s="3920" t="str">
        <f>IF(       0.677&lt;0.01,"***",IF(       0.677&lt;0.05,"**",IF(       0.677&lt;0.1,"*","NS")))</f>
        <v>NS</v>
      </c>
      <c r="P120" s="296" t="s">
        <v>4541</v>
      </c>
      <c r="Q120" s="4">
        <v>94.700148658378481</v>
      </c>
      <c r="R120" s="4">
        <v>95.229703286899834</v>
      </c>
      <c r="S120" s="4">
        <v>0.52955462852135127</v>
      </c>
      <c r="T120" s="3921" t="str">
        <f>IF(       0.789&lt;0.01,"***",IF(       0.789&lt;0.05,"**",IF(       0.789&lt;0.1,"*","NS")))</f>
        <v>NS</v>
      </c>
    </row>
    <row r="121" spans="1:20" x14ac:dyDescent="0.2">
      <c r="A121" s="296" t="s">
        <v>4456</v>
      </c>
      <c r="B121" s="4">
        <v>78.739431719083854</v>
      </c>
      <c r="C121" s="4">
        <v>74.785309086557263</v>
      </c>
      <c r="D121" s="4">
        <v>-3.9541226325265977</v>
      </c>
      <c r="E121" s="3922" t="str">
        <f>IF(       0.238&lt;0.01,"***",IF(       0.238&lt;0.05,"**",IF(       0.238&lt;0.1,"*","NS")))</f>
        <v>NS</v>
      </c>
      <c r="G121" s="296" t="s">
        <v>4496</v>
      </c>
      <c r="H121" s="4">
        <v>78.739431719083854</v>
      </c>
      <c r="I121" s="4">
        <v>74.798237107281025</v>
      </c>
      <c r="J121" s="4">
        <v>-3.9411946118028136</v>
      </c>
      <c r="K121" s="3923" t="str">
        <f>IF(       0.288&lt;0.01,"***",IF(       0.288&lt;0.05,"**",IF(       0.288&lt;0.1,"*","NS")))</f>
        <v>NS</v>
      </c>
      <c r="L121" s="4">
        <v>74.744933320845035</v>
      </c>
      <c r="M121" s="4">
        <v>-3.9944983982388176</v>
      </c>
      <c r="N121" s="3924" t="str">
        <f>IF(       0.459&lt;0.01,"***",IF(       0.459&lt;0.05,"**",IF(       0.459&lt;0.1,"*","NS")))</f>
        <v>NS</v>
      </c>
      <c r="P121" s="296" t="s">
        <v>4542</v>
      </c>
      <c r="Q121" s="4">
        <v>76.396507282305521</v>
      </c>
      <c r="R121" s="4">
        <v>74.744933320845035</v>
      </c>
      <c r="S121" s="4">
        <v>-1.651573961460485</v>
      </c>
      <c r="T121" s="3925" t="str">
        <f>IF(       0.759&lt;0.01,"***",IF(       0.759&lt;0.05,"**",IF(       0.759&lt;0.1,"*","NS")))</f>
        <v>NS</v>
      </c>
    </row>
    <row r="122" spans="1:20" x14ac:dyDescent="0.2">
      <c r="A122" s="296" t="s">
        <v>4457</v>
      </c>
      <c r="B122" s="4">
        <v>93.968478463990635</v>
      </c>
      <c r="C122" s="4">
        <v>90.929570495319098</v>
      </c>
      <c r="D122" s="4">
        <v>-3.0389079686715705</v>
      </c>
      <c r="E122" s="3926" t="str">
        <f>IF(       0.335&lt;0.01,"***",IF(       0.335&lt;0.05,"**",IF(       0.335&lt;0.1,"*","NS")))</f>
        <v>NS</v>
      </c>
      <c r="G122" s="296" t="s">
        <v>4497</v>
      </c>
      <c r="H122" s="4">
        <v>93.968478463990635</v>
      </c>
      <c r="I122" s="4">
        <v>91.818489384969851</v>
      </c>
      <c r="J122" s="4">
        <v>-2.1499890790207874</v>
      </c>
      <c r="K122" s="3927" t="str">
        <f>IF(       0.48&lt;0.01,"***",IF(       0.48&lt;0.05,"**",IF(       0.48&lt;0.1,"*","NS")))</f>
        <v>NS</v>
      </c>
      <c r="L122" s="4">
        <v>89.073461366306461</v>
      </c>
      <c r="M122" s="4">
        <v>-4.8950170976841685</v>
      </c>
      <c r="N122" s="3928" t="str">
        <f>IF(       0.199&lt;0.01,"***",IF(       0.199&lt;0.05,"**",IF(       0.199&lt;0.1,"*","NS")))</f>
        <v>NS</v>
      </c>
      <c r="P122" s="296" t="s">
        <v>4543</v>
      </c>
      <c r="Q122" s="4">
        <v>92.730587576052315</v>
      </c>
      <c r="R122" s="4">
        <v>89.073461366306461</v>
      </c>
      <c r="S122" s="4">
        <v>-3.6571262097458606</v>
      </c>
      <c r="T122" s="3929" t="str">
        <f>IF(       0.168&lt;0.01,"***",IF(       0.168&lt;0.05,"**",IF(       0.168&lt;0.1,"*","NS")))</f>
        <v>NS</v>
      </c>
    </row>
    <row r="123" spans="1:20" x14ac:dyDescent="0.2">
      <c r="A123" s="296" t="s">
        <v>4458</v>
      </c>
      <c r="B123" s="4" t="s">
        <v>6067</v>
      </c>
      <c r="C123" s="4" t="s">
        <v>6067</v>
      </c>
      <c r="D123" s="4" t="s">
        <v>6067</v>
      </c>
      <c r="E123" s="4" t="s">
        <v>6067</v>
      </c>
      <c r="G123" s="296" t="s">
        <v>4498</v>
      </c>
      <c r="H123" s="4" t="s">
        <v>6067</v>
      </c>
      <c r="I123" s="4" t="s">
        <v>6067</v>
      </c>
      <c r="J123" s="4" t="s">
        <v>6067</v>
      </c>
      <c r="K123" s="4" t="s">
        <v>6067</v>
      </c>
      <c r="L123" s="4" t="s">
        <v>6067</v>
      </c>
      <c r="M123" s="4" t="s">
        <v>6067</v>
      </c>
      <c r="N123" s="4" t="s">
        <v>6067</v>
      </c>
      <c r="P123" s="296" t="s">
        <v>4544</v>
      </c>
      <c r="Q123" s="4" t="s">
        <v>6067</v>
      </c>
      <c r="R123" s="4" t="s">
        <v>6067</v>
      </c>
      <c r="S123" s="4" t="s">
        <v>6067</v>
      </c>
      <c r="T123" s="4" t="s">
        <v>6067</v>
      </c>
    </row>
    <row r="124" spans="1:20" x14ac:dyDescent="0.2">
      <c r="A124" s="296" t="s">
        <v>4459</v>
      </c>
      <c r="B124" s="4">
        <v>89.419610836456002</v>
      </c>
      <c r="C124" s="4">
        <v>90.00877763275011</v>
      </c>
      <c r="D124" s="4">
        <v>0.58916679629411461</v>
      </c>
      <c r="E124" s="3930" t="str">
        <f>IF(       0.879&lt;0.01,"***",IF(       0.879&lt;0.05,"**",IF(       0.879&lt;0.1,"*","NS")))</f>
        <v>NS</v>
      </c>
      <c r="G124" s="296" t="s">
        <v>4499</v>
      </c>
      <c r="H124" s="4">
        <v>89.419610836456002</v>
      </c>
      <c r="I124" s="4">
        <v>91.490138340180096</v>
      </c>
      <c r="J124" s="4">
        <v>2.0705275037240924</v>
      </c>
      <c r="K124" s="3931" t="str">
        <f>IF(       0.599&lt;0.01,"***",IF(       0.599&lt;0.05,"**",IF(       0.599&lt;0.1,"*","NS")))</f>
        <v>NS</v>
      </c>
      <c r="L124" s="4">
        <v>86.109307569890646</v>
      </c>
      <c r="M124" s="4">
        <v>-3.3103032665653549</v>
      </c>
      <c r="N124" s="3932" t="str">
        <f>IF(       0.561&lt;0.01,"***",IF(       0.561&lt;0.05,"**",IF(       0.561&lt;0.1,"*","NS")))</f>
        <v>NS</v>
      </c>
      <c r="P124" s="296" t="s">
        <v>4545</v>
      </c>
      <c r="Q124" s="4">
        <v>90.277191081286588</v>
      </c>
      <c r="R124" s="4">
        <v>86.109307569890646</v>
      </c>
      <c r="S124" s="4">
        <v>-4.1678835113959485</v>
      </c>
      <c r="T124" s="3933" t="str">
        <f>IF(       0.41&lt;0.01,"***",IF(       0.41&lt;0.05,"**",IF(       0.41&lt;0.1,"*","NS")))</f>
        <v>NS</v>
      </c>
    </row>
    <row r="125" spans="1:20" x14ac:dyDescent="0.2">
      <c r="A125" s="296" t="s">
        <v>4460</v>
      </c>
      <c r="B125" s="4">
        <v>65.77186974405069</v>
      </c>
      <c r="C125" s="4">
        <v>62.639026734467507</v>
      </c>
      <c r="D125" s="4">
        <v>-3.1328430095832034</v>
      </c>
      <c r="E125" s="3934" t="str">
        <f>IF(       0.549&lt;0.01,"***",IF(       0.549&lt;0.05,"**",IF(       0.549&lt;0.1,"*","NS")))</f>
        <v>NS</v>
      </c>
      <c r="G125" s="296" t="s">
        <v>4500</v>
      </c>
      <c r="H125" s="4">
        <v>65.77186974405069</v>
      </c>
      <c r="I125" s="4">
        <v>61.81625729325188</v>
      </c>
      <c r="J125" s="4">
        <v>-3.9556124507988</v>
      </c>
      <c r="K125" s="3935" t="str">
        <f>IF(       0.443&lt;0.01,"***",IF(       0.443&lt;0.05,"**",IF(       0.443&lt;0.1,"*","NS")))</f>
        <v>NS</v>
      </c>
      <c r="L125" s="4">
        <v>63.528599308276178</v>
      </c>
      <c r="M125" s="4">
        <v>-2.2432704357745235</v>
      </c>
      <c r="N125" s="3936" t="str">
        <f>IF(       0.723&lt;0.01,"***",IF(       0.723&lt;0.05,"**",IF(       0.723&lt;0.1,"*","NS")))</f>
        <v>NS</v>
      </c>
      <c r="P125" s="296" t="s">
        <v>4546</v>
      </c>
      <c r="Q125" s="4">
        <v>63.132386906969529</v>
      </c>
      <c r="R125" s="4">
        <v>63.528599308276178</v>
      </c>
      <c r="S125" s="4">
        <v>0.39621240130665258</v>
      </c>
      <c r="T125" s="3937" t="str">
        <f>IF(       0.934&lt;0.01,"***",IF(       0.934&lt;0.05,"**",IF(       0.934&lt;0.1,"*","NS")))</f>
        <v>NS</v>
      </c>
    </row>
    <row r="126" spans="1:20" x14ac:dyDescent="0.2">
      <c r="A126" s="296" t="s">
        <v>4461</v>
      </c>
      <c r="B126" s="4">
        <v>84.522771686276144</v>
      </c>
      <c r="C126" s="4">
        <v>84.335170227889336</v>
      </c>
      <c r="D126" s="4">
        <v>-0.18760145838681191</v>
      </c>
      <c r="E126" s="3938" t="str">
        <f>IF(       0.965&lt;0.01,"***",IF(       0.965&lt;0.05,"**",IF(       0.965&lt;0.1,"*","NS")))</f>
        <v>NS</v>
      </c>
      <c r="G126" s="296" t="s">
        <v>4501</v>
      </c>
      <c r="H126" s="4">
        <v>84.522771686276144</v>
      </c>
      <c r="I126" s="4">
        <v>86.849844489204983</v>
      </c>
      <c r="J126" s="4">
        <v>2.3270728029288366</v>
      </c>
      <c r="K126" s="3939" t="str">
        <f>IF(       0.636&lt;0.01,"***",IF(       0.636&lt;0.05,"**",IF(       0.636&lt;0.1,"*","NS")))</f>
        <v>NS</v>
      </c>
      <c r="L126" s="4">
        <v>80.050123491220603</v>
      </c>
      <c r="M126" s="4">
        <v>-4.4726481950555375</v>
      </c>
      <c r="N126" s="3940" t="str">
        <f>IF(       0.302&lt;0.01,"***",IF(       0.302&lt;0.05,"**",IF(       0.302&lt;0.1,"*","NS")))</f>
        <v>NS</v>
      </c>
      <c r="P126" s="296" t="s">
        <v>4547</v>
      </c>
      <c r="Q126" s="4">
        <v>86.06996275117821</v>
      </c>
      <c r="R126" s="4">
        <v>80.050123491220603</v>
      </c>
      <c r="S126" s="4">
        <v>-6.019839259957612</v>
      </c>
      <c r="T126" s="3941" t="str">
        <f>IF(       0.081&lt;0.01,"***",IF(       0.081&lt;0.05,"**",IF(       0.081&lt;0.1,"*","NS")))</f>
        <v>*</v>
      </c>
    </row>
    <row r="127" spans="1:20" x14ac:dyDescent="0.2">
      <c r="A127" s="296" t="s">
        <v>4462</v>
      </c>
      <c r="B127" s="4">
        <v>75.243930698130242</v>
      </c>
      <c r="C127" s="4">
        <v>69.955706194388767</v>
      </c>
      <c r="D127" s="4">
        <v>-5.2882245037414632</v>
      </c>
      <c r="E127" s="3942" t="str">
        <f>IF(       0.184&lt;0.01,"***",IF(       0.184&lt;0.05,"**",IF(       0.184&lt;0.1,"*","NS")))</f>
        <v>NS</v>
      </c>
      <c r="G127" s="296" t="s">
        <v>4502</v>
      </c>
      <c r="H127" s="4">
        <v>75.243930698130242</v>
      </c>
      <c r="I127" s="4">
        <v>69.527998552013955</v>
      </c>
      <c r="J127" s="4">
        <v>-5.7159321461162929</v>
      </c>
      <c r="K127" s="3943" t="str">
        <f>IF(       0.187&lt;0.01,"***",IF(       0.187&lt;0.05,"**",IF(       0.187&lt;0.1,"*","NS")))</f>
        <v>NS</v>
      </c>
      <c r="L127" s="4">
        <v>70.81395929273387</v>
      </c>
      <c r="M127" s="4">
        <v>-4.4299714053963797</v>
      </c>
      <c r="N127" s="3944" t="str">
        <f>IF(       0.338&lt;0.01,"***",IF(       0.338&lt;0.05,"**",IF(       0.338&lt;0.1,"*","NS")))</f>
        <v>NS</v>
      </c>
      <c r="P127" s="296" t="s">
        <v>4548</v>
      </c>
      <c r="Q127" s="4">
        <v>71.934255890414875</v>
      </c>
      <c r="R127" s="4">
        <v>70.81395929273387</v>
      </c>
      <c r="S127" s="4">
        <v>-1.1202965976810211</v>
      </c>
      <c r="T127" s="3945" t="str">
        <f>IF(       0.77&lt;0.01,"***",IF(       0.77&lt;0.05,"**",IF(       0.77&lt;0.1,"*","NS")))</f>
        <v>NS</v>
      </c>
    </row>
    <row r="128" spans="1:20" x14ac:dyDescent="0.2">
      <c r="A128" s="296" t="s">
        <v>4463</v>
      </c>
      <c r="B128" s="4">
        <v>70.399992162797702</v>
      </c>
      <c r="C128" s="4">
        <v>59.341038219523192</v>
      </c>
      <c r="D128" s="4">
        <v>-11.058953943274506</v>
      </c>
      <c r="E128" s="3946" t="str">
        <f>IF(       0.025&lt;0.01,"***",IF(       0.025&lt;0.05,"**",IF(       0.025&lt;0.1,"*","NS")))</f>
        <v>**</v>
      </c>
      <c r="G128" s="296" t="s">
        <v>4503</v>
      </c>
      <c r="H128" s="4">
        <v>70.399992162797702</v>
      </c>
      <c r="I128" s="4">
        <v>61.834247789017617</v>
      </c>
      <c r="J128" s="4">
        <v>-8.5657443737800598</v>
      </c>
      <c r="K128" s="3947" t="str">
        <f>IF(       0.099&lt;0.01,"***",IF(       0.099&lt;0.05,"**",IF(       0.099&lt;0.1,"*","NS")))</f>
        <v>*</v>
      </c>
      <c r="L128" s="4">
        <v>54.758592604538492</v>
      </c>
      <c r="M128" s="4">
        <v>-15.64139955825922</v>
      </c>
      <c r="N128" s="3948" t="str">
        <f>IF(       0.016&lt;0.01,"***",IF(       0.016&lt;0.05,"**",IF(       0.016&lt;0.1,"*","NS")))</f>
        <v>**</v>
      </c>
      <c r="P128" s="296" t="s">
        <v>4549</v>
      </c>
      <c r="Q128" s="4">
        <v>65.588865627513599</v>
      </c>
      <c r="R128" s="4">
        <v>54.758592604538492</v>
      </c>
      <c r="S128" s="4">
        <v>-10.830273022975131</v>
      </c>
      <c r="T128" s="3949" t="str">
        <f>IF(       0.052&lt;0.01,"***",IF(       0.052&lt;0.05,"**",IF(       0.052&lt;0.1,"*","NS")))</f>
        <v>*</v>
      </c>
    </row>
    <row r="129" spans="1:20" x14ac:dyDescent="0.2">
      <c r="A129" s="296" t="s">
        <v>4464</v>
      </c>
      <c r="B129" s="4">
        <v>94.087883386391297</v>
      </c>
      <c r="C129" s="4">
        <v>95.253838721126442</v>
      </c>
      <c r="D129" s="4">
        <v>1.1659553347351366</v>
      </c>
      <c r="E129" s="3950" t="str">
        <f>IF(       0.535&lt;0.01,"***",IF(       0.535&lt;0.05,"**",IF(       0.535&lt;0.1,"*","NS")))</f>
        <v>NS</v>
      </c>
      <c r="G129" s="296" t="s">
        <v>4504</v>
      </c>
      <c r="H129" s="4">
        <v>94.087883386391297</v>
      </c>
      <c r="I129" s="4">
        <v>95.060950786346211</v>
      </c>
      <c r="J129" s="4">
        <v>0.97306739995492209</v>
      </c>
      <c r="K129" s="3951" t="str">
        <f>IF(       0.636&lt;0.01,"***",IF(       0.636&lt;0.05,"**",IF(       0.636&lt;0.1,"*","NS")))</f>
        <v>NS</v>
      </c>
      <c r="L129" s="4">
        <v>95.748029012907935</v>
      </c>
      <c r="M129" s="4">
        <v>1.6601456265166388</v>
      </c>
      <c r="N129" s="3952" t="str">
        <f>IF(       0.348&lt;0.01,"***",IF(       0.348&lt;0.05,"**",IF(       0.348&lt;0.1,"*","NS")))</f>
        <v>NS</v>
      </c>
      <c r="P129" s="296" t="s">
        <v>4550</v>
      </c>
      <c r="Q129" s="4">
        <v>94.602015154761006</v>
      </c>
      <c r="R129" s="4">
        <v>95.748029012907935</v>
      </c>
      <c r="S129" s="4">
        <v>1.1460138581469206</v>
      </c>
      <c r="T129" s="3953" t="str">
        <f>IF(       0.332&lt;0.01,"***",IF(       0.332&lt;0.05,"**",IF(       0.332&lt;0.1,"*","NS")))</f>
        <v>NS</v>
      </c>
    </row>
    <row r="130" spans="1:20" x14ac:dyDescent="0.2">
      <c r="A130" s="296" t="s">
        <v>4465</v>
      </c>
      <c r="B130" s="4">
        <v>71.298950515236754</v>
      </c>
      <c r="C130" s="4">
        <v>59.104270192262248</v>
      </c>
      <c r="D130" s="4">
        <v>-12.194680322974561</v>
      </c>
      <c r="E130" s="3954" t="str">
        <f>IF(       0.008&lt;0.01,"***",IF(       0.008&lt;0.05,"**",IF(       0.008&lt;0.1,"*","NS")))</f>
        <v>***</v>
      </c>
      <c r="G130" s="296" t="s">
        <v>4505</v>
      </c>
      <c r="H130" s="4">
        <v>71.298950515236754</v>
      </c>
      <c r="I130" s="4">
        <v>63.040715143241272</v>
      </c>
      <c r="J130" s="4">
        <v>-8.25823537199547</v>
      </c>
      <c r="K130" s="3955" t="str">
        <f>IF(       0.072&lt;0.01,"***",IF(       0.072&lt;0.05,"**",IF(       0.072&lt;0.1,"*","NS")))</f>
        <v>*</v>
      </c>
      <c r="L130" s="4">
        <v>54.323577238917977</v>
      </c>
      <c r="M130" s="4">
        <v>-16.975373276318802</v>
      </c>
      <c r="N130" s="3956" t="str">
        <f>IF(       0.003&lt;0.01,"***",IF(       0.003&lt;0.05,"**",IF(       0.003&lt;0.1,"*","NS")))</f>
        <v>***</v>
      </c>
      <c r="P130" s="296" t="s">
        <v>4551</v>
      </c>
      <c r="Q130" s="4">
        <v>66.021169792146651</v>
      </c>
      <c r="R130" s="4">
        <v>54.323577238917977</v>
      </c>
      <c r="S130" s="4">
        <v>-11.697592553228741</v>
      </c>
      <c r="T130" s="3957" t="str">
        <f>IF(       0.01&lt;0.01,"***",IF(       0.01&lt;0.05,"**",IF(       0.01&lt;0.1,"*","NS")))</f>
        <v>**</v>
      </c>
    </row>
    <row r="131" spans="1:20" x14ac:dyDescent="0.2">
      <c r="A131" s="296" t="s">
        <v>4466</v>
      </c>
      <c r="B131" s="4">
        <v>82.720746111608634</v>
      </c>
      <c r="C131" s="4">
        <v>86.667875317943796</v>
      </c>
      <c r="D131" s="4">
        <v>3.9471292063351759</v>
      </c>
      <c r="E131" s="3958" t="str">
        <f>IF(       0.375&lt;0.01,"***",IF(       0.375&lt;0.05,"**",IF(       0.375&lt;0.1,"*","NS")))</f>
        <v>NS</v>
      </c>
      <c r="G131" s="296" t="s">
        <v>4506</v>
      </c>
      <c r="H131" s="4">
        <v>82.720746111608634</v>
      </c>
      <c r="I131" s="4">
        <v>85.276990659828755</v>
      </c>
      <c r="J131" s="4">
        <v>2.5562445482201395</v>
      </c>
      <c r="K131" s="3959" t="str">
        <f>IF(       0.544&lt;0.01,"***",IF(       0.544&lt;0.05,"**",IF(       0.544&lt;0.1,"*","NS")))</f>
        <v>NS</v>
      </c>
      <c r="L131" s="4">
        <v>89.430707904816529</v>
      </c>
      <c r="M131" s="4">
        <v>6.7099617932079081</v>
      </c>
      <c r="N131" s="3960" t="str">
        <f>IF(       0.201&lt;0.01,"***",IF(       0.201&lt;0.05,"**",IF(       0.201&lt;0.1,"*","NS")))</f>
        <v>NS</v>
      </c>
      <c r="P131" s="296" t="s">
        <v>4552</v>
      </c>
      <c r="Q131" s="4">
        <v>84.080771560082027</v>
      </c>
      <c r="R131" s="4">
        <v>89.430707904816529</v>
      </c>
      <c r="S131" s="4">
        <v>5.349936344734501</v>
      </c>
      <c r="T131" s="3961" t="str">
        <f>IF(       0.119&lt;0.01,"***",IF(       0.119&lt;0.05,"**",IF(       0.119&lt;0.1,"*","NS")))</f>
        <v>NS</v>
      </c>
    </row>
    <row r="132" spans="1:20" x14ac:dyDescent="0.2">
      <c r="A132" s="296" t="s">
        <v>5835</v>
      </c>
      <c r="B132" s="4">
        <v>80.422092317691877</v>
      </c>
      <c r="C132" s="4">
        <v>75.467345148805421</v>
      </c>
      <c r="D132" s="4">
        <v>-4.9547471688864615</v>
      </c>
      <c r="E132" s="3962" t="str">
        <f>IF(       0&lt;0.01,"***",IF(       0&lt;0.05,"**",IF(       0&lt;0.1,"*","NS")))</f>
        <v>***</v>
      </c>
      <c r="G132" s="296" t="s">
        <v>5835</v>
      </c>
      <c r="H132" s="4">
        <v>80.422092317691877</v>
      </c>
      <c r="I132" s="4">
        <v>77.048797346428756</v>
      </c>
      <c r="J132" s="4">
        <v>-3.3732949712631308</v>
      </c>
      <c r="K132" s="3963" t="str">
        <f>IF(       0.008&lt;0.01,"***",IF(       0.008&lt;0.05,"**",IF(       0.008&lt;0.1,"*","NS")))</f>
        <v>***</v>
      </c>
      <c r="L132" s="4">
        <v>72.441574499192569</v>
      </c>
      <c r="M132" s="4">
        <v>-7.9805178184992975</v>
      </c>
      <c r="N132" s="3964" t="str">
        <f>IF(       0&lt;0.01,"***",IF(       0&lt;0.05,"**",IF(       0&lt;0.1,"*","NS")))</f>
        <v>***</v>
      </c>
      <c r="P132" s="296" t="s">
        <v>5835</v>
      </c>
      <c r="Q132" s="4">
        <v>78.506348446631051</v>
      </c>
      <c r="R132" s="4">
        <v>72.441574499192569</v>
      </c>
      <c r="S132" s="4">
        <v>-6.0647739474385132</v>
      </c>
      <c r="T132" s="3965" t="str">
        <f>IF(       0&lt;0.01,"***",IF(       0&lt;0.05,"**",IF(       0&lt;0.1,"*","NS")))</f>
        <v>***</v>
      </c>
    </row>
  </sheetData>
  <pageMargins left="0.7" right="0.7" top="0.75" bottom="0.75" header="0.3" footer="0.3"/>
  <tableParts count="21">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132"/>
  <sheetViews>
    <sheetView zoomScaleNormal="100" workbookViewId="0">
      <selection activeCell="D14" sqref="D14"/>
    </sheetView>
  </sheetViews>
  <sheetFormatPr baseColWidth="10" defaultColWidth="8.83203125" defaultRowHeight="15" x14ac:dyDescent="0.2"/>
  <cols>
    <col min="1" max="1" width="9.33203125" style="296" customWidth="1"/>
    <col min="2" max="5" width="15.83203125" style="4" customWidth="1"/>
    <col min="6" max="6" width="8.83203125" style="4"/>
    <col min="7" max="7" width="15.83203125" style="296" customWidth="1"/>
    <col min="8" max="14" width="15.83203125" style="4" customWidth="1"/>
    <col min="15" max="15" width="8.83203125" style="4"/>
    <col min="16" max="16" width="15.83203125" style="296" customWidth="1"/>
    <col min="17" max="20" width="15.83203125" style="4" customWidth="1"/>
    <col min="21" max="16384" width="8.83203125" style="4"/>
  </cols>
  <sheetData>
    <row r="1" spans="1:20" x14ac:dyDescent="0.2">
      <c r="A1" s="296" t="s">
        <v>1635</v>
      </c>
      <c r="G1" s="296" t="s">
        <v>1739</v>
      </c>
      <c r="P1" s="296" t="s">
        <v>1858</v>
      </c>
    </row>
    <row r="2" spans="1:20" s="3" customFormat="1" x14ac:dyDescent="0.2">
      <c r="A2" s="6000" t="s">
        <v>1636</v>
      </c>
      <c r="B2" s="6001" t="s">
        <v>1637</v>
      </c>
      <c r="C2" s="6002" t="s">
        <v>1638</v>
      </c>
      <c r="D2" s="6003" t="s">
        <v>1639</v>
      </c>
      <c r="E2" s="6004" t="s">
        <v>1640</v>
      </c>
      <c r="G2" s="6005" t="s">
        <v>1740</v>
      </c>
      <c r="H2" s="6006" t="s">
        <v>1741</v>
      </c>
      <c r="I2" s="6007" t="s">
        <v>1742</v>
      </c>
      <c r="J2" s="6008" t="s">
        <v>1743</v>
      </c>
      <c r="K2" s="6009" t="s">
        <v>1744</v>
      </c>
      <c r="L2" s="6010" t="s">
        <v>1843</v>
      </c>
      <c r="M2" s="6011" t="s">
        <v>1844</v>
      </c>
      <c r="N2" s="6012" t="s">
        <v>1845</v>
      </c>
      <c r="P2" s="6013" t="s">
        <v>1859</v>
      </c>
      <c r="Q2" s="6014" t="s">
        <v>1860</v>
      </c>
      <c r="R2" s="6015" t="s">
        <v>1861</v>
      </c>
      <c r="S2" s="6016" t="s">
        <v>1862</v>
      </c>
      <c r="T2" s="6017" t="s">
        <v>1863</v>
      </c>
    </row>
    <row r="3" spans="1:20" x14ac:dyDescent="0.2">
      <c r="A3" s="296" t="s">
        <v>1641</v>
      </c>
      <c r="B3" s="4">
        <v>10.513616261598219</v>
      </c>
      <c r="C3" s="4">
        <v>12.13356335437105</v>
      </c>
      <c r="D3" s="4">
        <v>1.6199470927728536</v>
      </c>
      <c r="E3" s="3198" t="str">
        <f>IF(       0.442&lt;0.01,"***",IF(       0.442&lt;0.05,"**",IF(       0.442&lt;0.1,"*","NS")))</f>
        <v>NS</v>
      </c>
      <c r="G3" s="296" t="s">
        <v>1745</v>
      </c>
      <c r="H3" s="4">
        <v>10.513616261598219</v>
      </c>
      <c r="I3" s="4">
        <v>12.5030029586491</v>
      </c>
      <c r="J3" s="4">
        <v>1.989386697050884</v>
      </c>
      <c r="K3" s="3199" t="str">
        <f>IF(       0.374&lt;0.01,"***",IF(       0.374&lt;0.05,"**",IF(       0.374&lt;0.1,"*","NS")))</f>
        <v>NS</v>
      </c>
      <c r="L3" s="4">
        <v>10.69242837331541</v>
      </c>
      <c r="M3" s="4">
        <v>0.17881211171719497</v>
      </c>
      <c r="N3" s="3200" t="str">
        <f>IF(       0.945&lt;0.01,"***",IF(       0.945&lt;0.05,"**",IF(       0.945&lt;0.1,"*","NS")))</f>
        <v>NS</v>
      </c>
      <c r="P3" s="296" t="s">
        <v>1864</v>
      </c>
      <c r="Q3" s="4">
        <v>11.225900327524259</v>
      </c>
      <c r="R3" s="4">
        <v>10.69242837331541</v>
      </c>
      <c r="S3" s="4">
        <v>-0.53347195420883997</v>
      </c>
      <c r="T3" s="3201" t="str">
        <f>IF(       0.815&lt;0.01,"***",IF(       0.815&lt;0.05,"**",IF(       0.815&lt;0.1,"*","NS")))</f>
        <v>NS</v>
      </c>
    </row>
    <row r="4" spans="1:20" x14ac:dyDescent="0.2">
      <c r="A4" s="296" t="s">
        <v>1642</v>
      </c>
      <c r="B4" s="4">
        <v>17.813943844766779</v>
      </c>
      <c r="C4" s="4">
        <v>14.37837961532628</v>
      </c>
      <c r="D4" s="4">
        <v>-3.4355642294404438</v>
      </c>
      <c r="E4" s="3202" t="str">
        <f>IF(       0.027&lt;0.01,"***",IF(       0.027&lt;0.05,"**",IF(       0.027&lt;0.1,"*","NS")))</f>
        <v>**</v>
      </c>
      <c r="G4" s="296" t="s">
        <v>1746</v>
      </c>
      <c r="H4" s="4">
        <v>17.813943844766779</v>
      </c>
      <c r="I4" s="4">
        <v>14.716571412522949</v>
      </c>
      <c r="J4" s="4">
        <v>-3.097372432243835</v>
      </c>
      <c r="K4" s="3203" t="str">
        <f>IF(       0.065&lt;0.01,"***",IF(       0.065&lt;0.05,"**",IF(       0.065&lt;0.1,"*","NS")))</f>
        <v>*</v>
      </c>
      <c r="L4" s="4">
        <v>13.491870318137</v>
      </c>
      <c r="M4" s="4">
        <v>-4.3220735266298567</v>
      </c>
      <c r="N4" s="3204" t="str">
        <f>IF(       0.142&lt;0.01,"***",IF(       0.142&lt;0.05,"**",IF(       0.142&lt;0.1,"*","NS")))</f>
        <v>NS</v>
      </c>
      <c r="P4" s="296" t="s">
        <v>1865</v>
      </c>
      <c r="Q4" s="4">
        <v>16.922046879475971</v>
      </c>
      <c r="R4" s="4">
        <v>13.491870318137</v>
      </c>
      <c r="S4" s="4">
        <v>-3.4301765613390791</v>
      </c>
      <c r="T4" s="3205" t="str">
        <f>IF(       0.238&lt;0.01,"***",IF(       0.238&lt;0.05,"**",IF(       0.238&lt;0.1,"*","NS")))</f>
        <v>NS</v>
      </c>
    </row>
    <row r="5" spans="1:20" x14ac:dyDescent="0.2">
      <c r="A5" s="296" t="s">
        <v>1643</v>
      </c>
      <c r="B5" s="4">
        <v>9.4115572820985474</v>
      </c>
      <c r="C5" s="4">
        <v>7.2112069998897166</v>
      </c>
      <c r="D5" s="4">
        <v>-2.2003502822087913</v>
      </c>
      <c r="E5" s="3206" t="str">
        <f>IF(       0.221&lt;0.01,"***",IF(       0.221&lt;0.05,"**",IF(       0.221&lt;0.1,"*","NS")))</f>
        <v>NS</v>
      </c>
      <c r="G5" s="296" t="s">
        <v>1747</v>
      </c>
      <c r="H5" s="4">
        <v>9.4115572820985474</v>
      </c>
      <c r="I5" s="4">
        <v>7.9452510094093096</v>
      </c>
      <c r="J5" s="4">
        <v>-1.4663062726892575</v>
      </c>
      <c r="K5" s="3207" t="str">
        <f>IF(       0.356&lt;0.01,"***",IF(       0.356&lt;0.05,"**",IF(       0.356&lt;0.1,"*","NS")))</f>
        <v>NS</v>
      </c>
      <c r="L5" s="4">
        <v>4.999207201112049</v>
      </c>
      <c r="M5" s="4">
        <v>-4.4123500809864185</v>
      </c>
      <c r="N5" s="3208" t="str">
        <f>IF(       0.161&lt;0.01,"***",IF(       0.161&lt;0.05,"**",IF(       0.161&lt;0.1,"*","NS")))</f>
        <v>NS</v>
      </c>
      <c r="P5" s="296" t="s">
        <v>1866</v>
      </c>
      <c r="Q5" s="4">
        <v>9.0643528577318104</v>
      </c>
      <c r="R5" s="4">
        <v>4.999207201112049</v>
      </c>
      <c r="S5" s="4">
        <v>-4.0651456566197259</v>
      </c>
      <c r="T5" s="3209" t="str">
        <f>IF(       0.164&lt;0.01,"***",IF(       0.164&lt;0.05,"**",IF(       0.164&lt;0.1,"*","NS")))</f>
        <v>NS</v>
      </c>
    </row>
    <row r="6" spans="1:20" x14ac:dyDescent="0.2">
      <c r="A6" s="296" t="s">
        <v>1644</v>
      </c>
      <c r="B6" s="4">
        <v>16.295571452098098</v>
      </c>
      <c r="C6" s="4">
        <v>15.771478138736819</v>
      </c>
      <c r="D6" s="4">
        <v>-0.52409331336126175</v>
      </c>
      <c r="E6" s="3210" t="str">
        <f>IF(       0.758&lt;0.01,"***",IF(       0.758&lt;0.05,"**",IF(       0.758&lt;0.1,"*","NS")))</f>
        <v>NS</v>
      </c>
      <c r="G6" s="296" t="s">
        <v>1748</v>
      </c>
      <c r="H6" s="4">
        <v>16.295571452098098</v>
      </c>
      <c r="I6" s="4">
        <v>15.52076376073426</v>
      </c>
      <c r="J6" s="4">
        <v>-0.77480769136384198</v>
      </c>
      <c r="K6" s="3211" t="str">
        <f>IF(       0.68&lt;0.01,"***",IF(       0.68&lt;0.05,"**",IF(       0.68&lt;0.1,"*","NS")))</f>
        <v>NS</v>
      </c>
      <c r="L6" s="4">
        <v>16.720416108618529</v>
      </c>
      <c r="M6" s="4">
        <v>0.42484465652043024</v>
      </c>
      <c r="N6" s="3212" t="str">
        <f>IF(       0.883&lt;0.01,"***",IF(       0.883&lt;0.05,"**",IF(       0.883&lt;0.1,"*","NS")))</f>
        <v>NS</v>
      </c>
      <c r="P6" s="296" t="s">
        <v>1867</v>
      </c>
      <c r="Q6" s="4">
        <v>16.068693434321151</v>
      </c>
      <c r="R6" s="4">
        <v>16.720416108618529</v>
      </c>
      <c r="S6" s="4">
        <v>0.65172267429736208</v>
      </c>
      <c r="T6" s="3213" t="str">
        <f>IF(       0.817&lt;0.01,"***",IF(       0.817&lt;0.05,"**",IF(       0.817&lt;0.1,"*","NS")))</f>
        <v>NS</v>
      </c>
    </row>
    <row r="7" spans="1:20" x14ac:dyDescent="0.2">
      <c r="A7" s="296" t="s">
        <v>1645</v>
      </c>
      <c r="B7" s="4">
        <v>17.671896741568592</v>
      </c>
      <c r="C7" s="4">
        <v>18.491677043312539</v>
      </c>
      <c r="D7" s="4">
        <v>0.8197803017439429</v>
      </c>
      <c r="E7" s="3214" t="str">
        <f>IF(       0.779&lt;0.01,"***",IF(       0.779&lt;0.05,"**",IF(       0.779&lt;0.1,"*","NS")))</f>
        <v>NS</v>
      </c>
      <c r="G7" s="296" t="s">
        <v>1749</v>
      </c>
      <c r="H7" s="4">
        <v>17.671896741568592</v>
      </c>
      <c r="I7" s="4">
        <v>18.909566456904091</v>
      </c>
      <c r="J7" s="4">
        <v>1.2376697153355201</v>
      </c>
      <c r="K7" s="3215" t="str">
        <f>IF(       0.682&lt;0.01,"***",IF(       0.682&lt;0.05,"**",IF(       0.682&lt;0.1,"*","NS")))</f>
        <v>NS</v>
      </c>
      <c r="L7" s="4">
        <v>16.513280225377208</v>
      </c>
      <c r="M7" s="4">
        <v>-1.1586165161913915</v>
      </c>
      <c r="N7" s="3216" t="str">
        <f>IF(       0.786&lt;0.01,"***",IF(       0.786&lt;0.05,"**",IF(       0.786&lt;0.1,"*","NS")))</f>
        <v>NS</v>
      </c>
      <c r="P7" s="296" t="s">
        <v>1868</v>
      </c>
      <c r="Q7" s="4">
        <v>17.998874106869181</v>
      </c>
      <c r="R7" s="4">
        <v>16.513280225377208</v>
      </c>
      <c r="S7" s="4">
        <v>-1.4855938814920506</v>
      </c>
      <c r="T7" s="3217" t="str">
        <f>IF(       0.708&lt;0.01,"***",IF(       0.708&lt;0.05,"**",IF(       0.708&lt;0.1,"*","NS")))</f>
        <v>NS</v>
      </c>
    </row>
    <row r="8" spans="1:20" x14ac:dyDescent="0.2">
      <c r="A8" s="296" t="s">
        <v>1646</v>
      </c>
      <c r="B8" s="4">
        <v>33.226471681622883</v>
      </c>
      <c r="C8" s="4">
        <v>31.002804879800181</v>
      </c>
      <c r="D8" s="4">
        <v>-2.2236668018226813</v>
      </c>
      <c r="E8" s="3218" t="str">
        <f>IF(       0.465&lt;0.01,"***",IF(       0.465&lt;0.05,"**",IF(       0.465&lt;0.1,"*","NS")))</f>
        <v>NS</v>
      </c>
      <c r="G8" s="296" t="s">
        <v>1750</v>
      </c>
      <c r="H8" s="4">
        <v>33.226471681622883</v>
      </c>
      <c r="I8" s="4">
        <v>30.485733067478851</v>
      </c>
      <c r="J8" s="4">
        <v>-2.7407386141440515</v>
      </c>
      <c r="K8" s="3219" t="str">
        <f>IF(       0.361&lt;0.01,"***",IF(       0.361&lt;0.05,"**",IF(       0.361&lt;0.1,"*","NS")))</f>
        <v>NS</v>
      </c>
      <c r="L8" s="4">
        <v>32.626772581505882</v>
      </c>
      <c r="M8" s="4">
        <v>-0.59969910011696947</v>
      </c>
      <c r="N8" s="3220" t="str">
        <f>IF(       0.91&lt;0.01,"***",IF(       0.91&lt;0.05,"**",IF(       0.91&lt;0.1,"*","NS")))</f>
        <v>NS</v>
      </c>
      <c r="P8" s="296" t="s">
        <v>1869</v>
      </c>
      <c r="Q8" s="4">
        <v>32.458906944679512</v>
      </c>
      <c r="R8" s="4">
        <v>32.626772581505882</v>
      </c>
      <c r="S8" s="4">
        <v>0.16786563682640984</v>
      </c>
      <c r="T8" s="3221" t="str">
        <f>IF(       0.973&lt;0.01,"***",IF(       0.973&lt;0.05,"**",IF(       0.973&lt;0.1,"*","NS")))</f>
        <v>NS</v>
      </c>
    </row>
    <row r="9" spans="1:20" x14ac:dyDescent="0.2">
      <c r="A9" s="296" t="s">
        <v>1647</v>
      </c>
      <c r="B9" s="4">
        <v>31.710538347719211</v>
      </c>
      <c r="C9" s="4">
        <v>36.063887269043413</v>
      </c>
      <c r="D9" s="4">
        <v>4.3533489213241667</v>
      </c>
      <c r="E9" s="3222" t="str">
        <f>IF(       0.067&lt;0.01,"***",IF(       0.067&lt;0.05,"**",IF(       0.067&lt;0.1,"*","NS")))</f>
        <v>*</v>
      </c>
      <c r="G9" s="296" t="s">
        <v>1751</v>
      </c>
      <c r="H9" s="4">
        <v>31.710538347719211</v>
      </c>
      <c r="I9" s="4">
        <v>37.847510132891053</v>
      </c>
      <c r="J9" s="4">
        <v>6.1369717851717542</v>
      </c>
      <c r="K9" s="3223" t="str">
        <f>IF(       0.017&lt;0.01,"***",IF(       0.017&lt;0.05,"**",IF(       0.017&lt;0.1,"*","NS")))</f>
        <v>**</v>
      </c>
      <c r="L9" s="4">
        <v>27.801728692483369</v>
      </c>
      <c r="M9" s="4">
        <v>-3.9088096552358089</v>
      </c>
      <c r="N9" s="3224" t="str">
        <f>IF(       0.446&lt;0.01,"***",IF(       0.446&lt;0.05,"**",IF(       0.446&lt;0.1,"*","NS")))</f>
        <v>NS</v>
      </c>
      <c r="P9" s="296" t="s">
        <v>1870</v>
      </c>
      <c r="Q9" s="4">
        <v>32.620487242501092</v>
      </c>
      <c r="R9" s="4">
        <v>27.801728692483369</v>
      </c>
      <c r="S9" s="4">
        <v>-4.8187585500178685</v>
      </c>
      <c r="T9" s="3225" t="str">
        <f>IF(       0.349&lt;0.01,"***",IF(       0.349&lt;0.05,"**",IF(       0.349&lt;0.1,"*","NS")))</f>
        <v>NS</v>
      </c>
    </row>
    <row r="10" spans="1:20" x14ac:dyDescent="0.2">
      <c r="A10" s="296" t="s">
        <v>1648</v>
      </c>
      <c r="B10" s="4">
        <v>1.6985670769275649</v>
      </c>
      <c r="C10" s="4">
        <v>3.3554808911721019</v>
      </c>
      <c r="D10" s="4">
        <v>1.6569138142445357</v>
      </c>
      <c r="E10" s="3226" t="str">
        <f>IF(       0.114&lt;0.01,"***",IF(       0.114&lt;0.05,"**",IF(       0.114&lt;0.1,"*","NS")))</f>
        <v>NS</v>
      </c>
      <c r="G10" s="296" t="s">
        <v>1752</v>
      </c>
      <c r="H10" s="4">
        <v>1.6985670769275649</v>
      </c>
      <c r="I10" s="4">
        <v>3.1046586460270889</v>
      </c>
      <c r="J10" s="4">
        <v>1.4060915690995457</v>
      </c>
      <c r="K10" s="3227" t="str">
        <f>IF(       0.157&lt;0.01,"***",IF(       0.157&lt;0.05,"**",IF(       0.157&lt;0.1,"*","NS")))</f>
        <v>NS</v>
      </c>
      <c r="L10" s="4">
        <v>4.1762071282997963</v>
      </c>
      <c r="M10" s="4">
        <v>2.4776400513722221</v>
      </c>
      <c r="N10" s="3228" t="str">
        <f>IF(       0.252&lt;0.01,"***",IF(       0.252&lt;0.05,"**",IF(       0.252&lt;0.1,"*","NS")))</f>
        <v>NS</v>
      </c>
      <c r="P10" s="296" t="s">
        <v>1871</v>
      </c>
      <c r="Q10" s="4">
        <v>1.958859879093463</v>
      </c>
      <c r="R10" s="4">
        <v>4.1762071282997963</v>
      </c>
      <c r="S10" s="4">
        <v>2.2173472492063326</v>
      </c>
      <c r="T10" s="3229" t="str">
        <f>IF(       0.291&lt;0.01,"***",IF(       0.291&lt;0.05,"**",IF(       0.291&lt;0.1,"*","NS")))</f>
        <v>NS</v>
      </c>
    </row>
    <row r="11" spans="1:20" x14ac:dyDescent="0.2">
      <c r="A11" s="296" t="s">
        <v>1649</v>
      </c>
      <c r="B11" s="4">
        <v>21.663046148231221</v>
      </c>
      <c r="C11" s="4">
        <v>13.795651018220539</v>
      </c>
      <c r="D11" s="4">
        <v>-7.8673951300107463</v>
      </c>
      <c r="E11" s="3230" t="str">
        <f>IF(       0&lt;0.01,"***",IF(       0&lt;0.05,"**",IF(       0&lt;0.1,"*","NS")))</f>
        <v>***</v>
      </c>
      <c r="G11" s="296" t="s">
        <v>1753</v>
      </c>
      <c r="H11" s="4">
        <v>21.663046148231221</v>
      </c>
      <c r="I11" s="4">
        <v>14.13096994187274</v>
      </c>
      <c r="J11" s="4">
        <v>-7.5320762063585054</v>
      </c>
      <c r="K11" s="3231" t="str">
        <f>IF(       0.003&lt;0.01,"***",IF(       0.003&lt;0.05,"**",IF(       0.003&lt;0.1,"*","NS")))</f>
        <v>***</v>
      </c>
      <c r="L11" s="4">
        <v>13.26024003113479</v>
      </c>
      <c r="M11" s="4">
        <v>-8.4028061170964268</v>
      </c>
      <c r="N11" s="3232" t="str">
        <f>IF(       0&lt;0.01,"***",IF(       0&lt;0.05,"**",IF(       0&lt;0.1,"*","NS")))</f>
        <v>***</v>
      </c>
      <c r="P11" s="296" t="s">
        <v>1872</v>
      </c>
      <c r="Q11" s="4">
        <v>19.103535767041201</v>
      </c>
      <c r="R11" s="4">
        <v>13.26024003113479</v>
      </c>
      <c r="S11" s="4">
        <v>-5.8432957359063815</v>
      </c>
      <c r="T11" s="3233" t="str">
        <f>IF(       0.003&lt;0.01,"***",IF(       0.003&lt;0.05,"**",IF(       0.003&lt;0.1,"*","NS")))</f>
        <v>***</v>
      </c>
    </row>
    <row r="12" spans="1:20" x14ac:dyDescent="0.2">
      <c r="A12" s="296" t="s">
        <v>1650</v>
      </c>
      <c r="B12" s="4">
        <v>11.25458640817798</v>
      </c>
      <c r="C12" s="4">
        <v>8.990469214981724</v>
      </c>
      <c r="D12" s="4">
        <v>-2.2641171931962583</v>
      </c>
      <c r="E12" s="3234" t="str">
        <f>IF(       0.068&lt;0.01,"***",IF(       0.068&lt;0.05,"**",IF(       0.068&lt;0.1,"*","NS")))</f>
        <v>*</v>
      </c>
      <c r="G12" s="296" t="s">
        <v>1754</v>
      </c>
      <c r="H12" s="4">
        <v>11.25458640817798</v>
      </c>
      <c r="I12" s="4">
        <v>9.5016467091659731</v>
      </c>
      <c r="J12" s="4">
        <v>-1.7529396990120067</v>
      </c>
      <c r="K12" s="3235" t="str">
        <f>IF(       0.197&lt;0.01,"***",IF(       0.197&lt;0.05,"**",IF(       0.197&lt;0.1,"*","NS")))</f>
        <v>NS</v>
      </c>
      <c r="L12" s="4">
        <v>7.3291275026737344</v>
      </c>
      <c r="M12" s="4">
        <v>-3.9254589055042763</v>
      </c>
      <c r="N12" s="3236" t="str">
        <f>IF(       0.018&lt;0.01,"***",IF(       0.018&lt;0.05,"**",IF(       0.018&lt;0.1,"*","NS")))</f>
        <v>**</v>
      </c>
      <c r="P12" s="296" t="s">
        <v>1873</v>
      </c>
      <c r="Q12" s="4">
        <v>10.57804608494833</v>
      </c>
      <c r="R12" s="4">
        <v>7.3291275026737344</v>
      </c>
      <c r="S12" s="4">
        <v>-3.2489185822746389</v>
      </c>
      <c r="T12" s="3237" t="str">
        <f>IF(       0.035&lt;0.01,"***",IF(       0.035&lt;0.05,"**",IF(       0.035&lt;0.1,"*","NS")))</f>
        <v>**</v>
      </c>
    </row>
    <row r="13" spans="1:20" x14ac:dyDescent="0.2">
      <c r="A13" s="296" t="s">
        <v>1651</v>
      </c>
      <c r="B13" s="4">
        <v>38.396823127097321</v>
      </c>
      <c r="C13" s="4">
        <v>36.563558880727243</v>
      </c>
      <c r="D13" s="4">
        <v>-1.8332642463700497</v>
      </c>
      <c r="E13" s="3238" t="str">
        <f>IF(       0.35&lt;0.01,"***",IF(       0.35&lt;0.05,"**",IF(       0.35&lt;0.1,"*","NS")))</f>
        <v>NS</v>
      </c>
      <c r="G13" s="296" t="s">
        <v>1755</v>
      </c>
      <c r="H13" s="4">
        <v>38.396823127097321</v>
      </c>
      <c r="I13" s="4">
        <v>32.868715543096918</v>
      </c>
      <c r="J13" s="4">
        <v>-5.5281075840003702</v>
      </c>
      <c r="K13" s="3239" t="str">
        <f>IF(       0.001&lt;0.01,"***",IF(       0.001&lt;0.05,"**",IF(       0.001&lt;0.1,"*","NS")))</f>
        <v>***</v>
      </c>
      <c r="L13" s="4">
        <v>46.549944999741179</v>
      </c>
      <c r="M13" s="4">
        <v>8.1531218726438865</v>
      </c>
      <c r="N13" s="3240" t="str">
        <f>IF(       0.066&lt;0.01,"***",IF(       0.066&lt;0.05,"**",IF(       0.066&lt;0.1,"*","NS")))</f>
        <v>*</v>
      </c>
      <c r="P13" s="296" t="s">
        <v>1874</v>
      </c>
      <c r="Q13" s="4">
        <v>37.074070963239627</v>
      </c>
      <c r="R13" s="4">
        <v>46.549944999741179</v>
      </c>
      <c r="S13" s="4">
        <v>9.4758740365015406</v>
      </c>
      <c r="T13" s="3241" t="str">
        <f>IF(       0.03&lt;0.01,"***",IF(       0.03&lt;0.05,"**",IF(       0.03&lt;0.1,"*","NS")))</f>
        <v>**</v>
      </c>
    </row>
    <row r="14" spans="1:20" x14ac:dyDescent="0.2">
      <c r="A14" s="296" t="s">
        <v>1652</v>
      </c>
      <c r="B14" s="4">
        <v>43.0514174812485</v>
      </c>
      <c r="C14" s="4">
        <v>34.289825157189732</v>
      </c>
      <c r="D14" s="4">
        <v>-8.76159232405894</v>
      </c>
      <c r="E14" s="3242" t="str">
        <f>IF(       0.002&lt;0.01,"***",IF(       0.002&lt;0.05,"**",IF(       0.002&lt;0.1,"*","NS")))</f>
        <v>***</v>
      </c>
      <c r="G14" s="296" t="s">
        <v>1756</v>
      </c>
      <c r="H14" s="4">
        <v>43.0514174812485</v>
      </c>
      <c r="I14" s="4">
        <v>35.085390814954067</v>
      </c>
      <c r="J14" s="4">
        <v>-7.9660266662943062</v>
      </c>
      <c r="K14" s="3243" t="str">
        <f>IF(       0.002&lt;0.01,"***",IF(       0.002&lt;0.05,"**",IF(       0.002&lt;0.1,"*","NS")))</f>
        <v>***</v>
      </c>
      <c r="L14" s="4">
        <v>31.946038706643851</v>
      </c>
      <c r="M14" s="4">
        <v>-11.105378774604491</v>
      </c>
      <c r="N14" s="3244" t="str">
        <f>IF(       0.01&lt;0.01,"***",IF(       0.01&lt;0.05,"**",IF(       0.01&lt;0.1,"*","NS")))</f>
        <v>**</v>
      </c>
      <c r="P14" s="296" t="s">
        <v>1875</v>
      </c>
      <c r="Q14" s="4">
        <v>41.322698437129311</v>
      </c>
      <c r="R14" s="4">
        <v>31.946038706643851</v>
      </c>
      <c r="S14" s="4">
        <v>-9.3766597304856312</v>
      </c>
      <c r="T14" s="3245" t="str">
        <f>IF(       0.019&lt;0.01,"***",IF(       0.019&lt;0.05,"**",IF(       0.019&lt;0.1,"*","NS")))</f>
        <v>**</v>
      </c>
    </row>
    <row r="15" spans="1:20" x14ac:dyDescent="0.2">
      <c r="A15" s="296" t="s">
        <v>1653</v>
      </c>
      <c r="B15" s="4">
        <v>16.935452179012479</v>
      </c>
      <c r="C15" s="4">
        <v>21.37102840141505</v>
      </c>
      <c r="D15" s="4">
        <v>4.4355762224024815</v>
      </c>
      <c r="E15" s="3246" t="str">
        <f>IF(       0.09&lt;0.01,"***",IF(       0.09&lt;0.05,"**",IF(       0.09&lt;0.1,"*","NS")))</f>
        <v>*</v>
      </c>
      <c r="G15" s="296" t="s">
        <v>1757</v>
      </c>
      <c r="H15" s="4">
        <v>16.935452179012479</v>
      </c>
      <c r="I15" s="4">
        <v>18.61990046715491</v>
      </c>
      <c r="J15" s="4">
        <v>1.6844482881424396</v>
      </c>
      <c r="K15" s="3247" t="str">
        <f>IF(       0.461&lt;0.01,"***",IF(       0.461&lt;0.05,"**",IF(       0.461&lt;0.1,"*","NS")))</f>
        <v>NS</v>
      </c>
      <c r="L15" s="4">
        <v>29.804589666300931</v>
      </c>
      <c r="M15" s="4">
        <v>12.869137487288418</v>
      </c>
      <c r="N15" s="3248" t="str">
        <f>IF(       0.01&lt;0.01,"***",IF(       0.01&lt;0.05,"**",IF(       0.01&lt;0.1,"*","NS")))</f>
        <v>**</v>
      </c>
      <c r="P15" s="296" t="s">
        <v>1876</v>
      </c>
      <c r="Q15" s="4">
        <v>17.314434283213771</v>
      </c>
      <c r="R15" s="4">
        <v>29.804589666300931</v>
      </c>
      <c r="S15" s="4">
        <v>12.490155383086979</v>
      </c>
      <c r="T15" s="3249" t="str">
        <f>IF(       0.009&lt;0.01,"***",IF(       0.009&lt;0.05,"**",IF(       0.009&lt;0.1,"*","NS")))</f>
        <v>***</v>
      </c>
    </row>
    <row r="16" spans="1:20" x14ac:dyDescent="0.2">
      <c r="A16" s="296" t="s">
        <v>1654</v>
      </c>
      <c r="B16" s="4">
        <v>16.451516986599621</v>
      </c>
      <c r="C16" s="4">
        <v>10.345526733236801</v>
      </c>
      <c r="D16" s="4">
        <v>-6.1059902533627035</v>
      </c>
      <c r="E16" s="3250" t="str">
        <f>IF(       0&lt;0.01,"***",IF(       0&lt;0.05,"**",IF(       0&lt;0.1,"*","NS")))</f>
        <v>***</v>
      </c>
      <c r="G16" s="296" t="s">
        <v>1758</v>
      </c>
      <c r="H16" s="4">
        <v>16.451516986599621</v>
      </c>
      <c r="I16" s="4">
        <v>10.57707837204436</v>
      </c>
      <c r="J16" s="4">
        <v>-5.8744386145553475</v>
      </c>
      <c r="K16" s="3251" t="str">
        <f>IF(       0&lt;0.01,"***",IF(       0&lt;0.05,"**",IF(       0&lt;0.1,"*","NS")))</f>
        <v>***</v>
      </c>
      <c r="L16" s="4">
        <v>9.8329676376246518</v>
      </c>
      <c r="M16" s="4">
        <v>-6.6185493489749323</v>
      </c>
      <c r="N16" s="3252" t="str">
        <f>IF(       0&lt;0.01,"***",IF(       0&lt;0.05,"**",IF(       0&lt;0.1,"*","NS")))</f>
        <v>***</v>
      </c>
      <c r="P16" s="296" t="s">
        <v>1877</v>
      </c>
      <c r="Q16" s="4">
        <v>14.51338595788793</v>
      </c>
      <c r="R16" s="4">
        <v>9.8329676376246518</v>
      </c>
      <c r="S16" s="4">
        <v>-4.6804183202632972</v>
      </c>
      <c r="T16" s="3253" t="str">
        <f>IF(       0.005&lt;0.01,"***",IF(       0.005&lt;0.05,"**",IF(       0.005&lt;0.1,"*","NS")))</f>
        <v>***</v>
      </c>
    </row>
    <row r="17" spans="1:20" x14ac:dyDescent="0.2">
      <c r="A17" s="296" t="s">
        <v>1655</v>
      </c>
      <c r="B17" s="4">
        <v>6.926423031527583</v>
      </c>
      <c r="C17" s="4">
        <v>5.5960231640303526</v>
      </c>
      <c r="D17" s="4">
        <v>-1.3303998674972481</v>
      </c>
      <c r="E17" s="3254" t="str">
        <f>IF(       0.278&lt;0.01,"***",IF(       0.278&lt;0.05,"**",IF(       0.278&lt;0.1,"*","NS")))</f>
        <v>NS</v>
      </c>
      <c r="G17" s="296" t="s">
        <v>1759</v>
      </c>
      <c r="H17" s="4">
        <v>6.926423031527583</v>
      </c>
      <c r="I17" s="4">
        <v>5.248261829202078</v>
      </c>
      <c r="J17" s="4">
        <v>-1.6781612023255108</v>
      </c>
      <c r="K17" s="3255" t="str">
        <f>IF(       0.167&lt;0.01,"***",IF(       0.167&lt;0.05,"**",IF(       0.167&lt;0.1,"*","NS")))</f>
        <v>NS</v>
      </c>
      <c r="L17" s="4">
        <v>6.6964409095431199</v>
      </c>
      <c r="M17" s="4">
        <v>-0.22998212198449297</v>
      </c>
      <c r="N17" s="3256" t="str">
        <f>IF(       0.919&lt;0.01,"***",IF(       0.919&lt;0.05,"**",IF(       0.919&lt;0.1,"*","NS")))</f>
        <v>NS</v>
      </c>
      <c r="P17" s="296" t="s">
        <v>1878</v>
      </c>
      <c r="Q17" s="4">
        <v>6.4901997334018828</v>
      </c>
      <c r="R17" s="4">
        <v>6.6964409095431199</v>
      </c>
      <c r="S17" s="4">
        <v>0.20624117614123405</v>
      </c>
      <c r="T17" s="3257" t="str">
        <f>IF(       0.925&lt;0.01,"***",IF(       0.925&lt;0.05,"**",IF(       0.925&lt;0.1,"*","NS")))</f>
        <v>NS</v>
      </c>
    </row>
    <row r="18" spans="1:20" x14ac:dyDescent="0.2">
      <c r="A18" s="296" t="s">
        <v>5835</v>
      </c>
      <c r="B18" s="4">
        <v>23.61103899388144</v>
      </c>
      <c r="C18" s="4">
        <v>19.503315195631728</v>
      </c>
      <c r="D18" s="4">
        <v>-4.1077237982496655</v>
      </c>
      <c r="E18" s="3258" t="str">
        <f>IF(       0&lt;0.01,"***",IF(       0&lt;0.05,"**",IF(       0&lt;0.1,"*","NS")))</f>
        <v>***</v>
      </c>
      <c r="G18" s="296" t="s">
        <v>5835</v>
      </c>
      <c r="H18" s="4">
        <v>23.61103899388144</v>
      </c>
      <c r="I18" s="4">
        <v>19.291442597753289</v>
      </c>
      <c r="J18" s="4">
        <v>-4.3195963961281709</v>
      </c>
      <c r="K18" s="3259" t="str">
        <f>IF(       0&lt;0.01,"***",IF(       0&lt;0.05,"**",IF(       0&lt;0.1,"*","NS")))</f>
        <v>***</v>
      </c>
      <c r="L18" s="4">
        <v>20.125955768166929</v>
      </c>
      <c r="M18" s="4">
        <v>-3.4850832257144555</v>
      </c>
      <c r="N18" s="3260" t="str">
        <f>IF(       0.002&lt;0.01,"***",IF(       0.002&lt;0.05,"**",IF(       0.002&lt;0.1,"*","NS")))</f>
        <v>***</v>
      </c>
      <c r="P18" s="296" t="s">
        <v>5835</v>
      </c>
      <c r="Q18" s="4">
        <v>22.457202067300418</v>
      </c>
      <c r="R18" s="4">
        <v>20.125955768166929</v>
      </c>
      <c r="S18" s="4">
        <v>-2.3312462991333662</v>
      </c>
      <c r="T18" s="3261" t="str">
        <f>IF(       0.027&lt;0.01,"***",IF(       0.027&lt;0.05,"**",IF(       0.027&lt;0.1,"*","NS")))</f>
        <v>**</v>
      </c>
    </row>
    <row r="20" spans="1:20" x14ac:dyDescent="0.2">
      <c r="A20" s="296" t="s">
        <v>1656</v>
      </c>
      <c r="G20" s="296" t="s">
        <v>1760</v>
      </c>
      <c r="P20" s="296" t="s">
        <v>1879</v>
      </c>
    </row>
    <row r="21" spans="1:20" s="3" customFormat="1" x14ac:dyDescent="0.2">
      <c r="A21" s="6018" t="s">
        <v>1657</v>
      </c>
      <c r="B21" s="6019" t="s">
        <v>1658</v>
      </c>
      <c r="C21" s="6020" t="s">
        <v>1659</v>
      </c>
      <c r="D21" s="6021" t="s">
        <v>1660</v>
      </c>
      <c r="E21" s="6022" t="s">
        <v>1661</v>
      </c>
      <c r="G21" s="6023" t="s">
        <v>1761</v>
      </c>
      <c r="H21" s="6024" t="s">
        <v>1762</v>
      </c>
      <c r="I21" s="6025" t="s">
        <v>1763</v>
      </c>
      <c r="J21" s="6026" t="s">
        <v>1764</v>
      </c>
      <c r="K21" s="6027" t="s">
        <v>1765</v>
      </c>
      <c r="L21" s="6028" t="s">
        <v>1846</v>
      </c>
      <c r="M21" s="6029" t="s">
        <v>1847</v>
      </c>
      <c r="N21" s="6030" t="s">
        <v>1848</v>
      </c>
      <c r="P21" s="6031" t="s">
        <v>1880</v>
      </c>
      <c r="Q21" s="6032" t="s">
        <v>1881</v>
      </c>
      <c r="R21" s="6033" t="s">
        <v>1882</v>
      </c>
      <c r="S21" s="6034" t="s">
        <v>1883</v>
      </c>
      <c r="T21" s="6035" t="s">
        <v>1884</v>
      </c>
    </row>
    <row r="22" spans="1:20" x14ac:dyDescent="0.2">
      <c r="A22" s="296" t="s">
        <v>1662</v>
      </c>
      <c r="B22" s="4">
        <v>11.057477707183409</v>
      </c>
      <c r="C22" s="4">
        <v>11.641516578935439</v>
      </c>
      <c r="D22" s="4">
        <v>0.58403887175202585</v>
      </c>
      <c r="E22" s="3262" t="str">
        <f>IF(       0.748&lt;0.01,"***",IF(       0.748&lt;0.05,"**",IF(       0.748&lt;0.1,"*","NS")))</f>
        <v>NS</v>
      </c>
      <c r="G22" s="296" t="s">
        <v>1766</v>
      </c>
      <c r="H22" s="4">
        <v>11.057477707183409</v>
      </c>
      <c r="I22" s="4">
        <v>12.49795626346623</v>
      </c>
      <c r="J22" s="4">
        <v>1.4404785562828146</v>
      </c>
      <c r="K22" s="3263" t="str">
        <f>IF(       0.501&lt;0.01,"***",IF(       0.501&lt;0.05,"**",IF(       0.501&lt;0.1,"*","NS")))</f>
        <v>NS</v>
      </c>
      <c r="L22" s="4">
        <v>8.6946195565894389</v>
      </c>
      <c r="M22" s="4">
        <v>-2.3628581505939761</v>
      </c>
      <c r="N22" s="3264" t="str">
        <f>IF(       0.427&lt;0.01,"***",IF(       0.427&lt;0.05,"**",IF(       0.427&lt;0.1,"*","NS")))</f>
        <v>NS</v>
      </c>
      <c r="P22" s="296" t="s">
        <v>1885</v>
      </c>
      <c r="Q22" s="4">
        <v>11.59881794931694</v>
      </c>
      <c r="R22" s="4">
        <v>8.6946195565894389</v>
      </c>
      <c r="S22" s="4">
        <v>-2.9041983927274879</v>
      </c>
      <c r="T22" s="3265" t="str">
        <f>IF(       0.342&lt;0.01,"***",IF(       0.342&lt;0.05,"**",IF(       0.342&lt;0.1,"*","NS")))</f>
        <v>NS</v>
      </c>
    </row>
    <row r="23" spans="1:20" x14ac:dyDescent="0.2">
      <c r="A23" s="296" t="s">
        <v>1663</v>
      </c>
      <c r="B23" s="4">
        <v>16.782705197144029</v>
      </c>
      <c r="C23" s="4">
        <v>15.825744452312859</v>
      </c>
      <c r="D23" s="4">
        <v>-0.95696074483117011</v>
      </c>
      <c r="E23" s="3266" t="str">
        <f>IF(       0.594&lt;0.01,"***",IF(       0.594&lt;0.05,"**",IF(       0.594&lt;0.1,"*","NS")))</f>
        <v>NS</v>
      </c>
      <c r="G23" s="296" t="s">
        <v>1767</v>
      </c>
      <c r="H23" s="4">
        <v>16.782705197144029</v>
      </c>
      <c r="I23" s="4">
        <v>15.69383393795761</v>
      </c>
      <c r="J23" s="4">
        <v>-1.0888712591864325</v>
      </c>
      <c r="K23" s="3267" t="str">
        <f>IF(       0.523&lt;0.01,"***",IF(       0.523&lt;0.05,"**",IF(       0.523&lt;0.1,"*","NS")))</f>
        <v>NS</v>
      </c>
      <c r="L23" s="4">
        <v>16.165349421284908</v>
      </c>
      <c r="M23" s="4">
        <v>-0.61735577585911849</v>
      </c>
      <c r="N23" s="3268" t="str">
        <f>IF(       0.862&lt;0.01,"***",IF(       0.862&lt;0.05,"**",IF(       0.862&lt;0.1,"*","NS")))</f>
        <v>NS</v>
      </c>
      <c r="P23" s="296" t="s">
        <v>1886</v>
      </c>
      <c r="Q23" s="4">
        <v>16.4211340964839</v>
      </c>
      <c r="R23" s="4">
        <v>16.165349421284908</v>
      </c>
      <c r="S23" s="4">
        <v>-0.25578467519898956</v>
      </c>
      <c r="T23" s="3269" t="str">
        <f>IF(       0.94&lt;0.01,"***",IF(       0.94&lt;0.05,"**",IF(       0.94&lt;0.1,"*","NS")))</f>
        <v>NS</v>
      </c>
    </row>
    <row r="24" spans="1:20" x14ac:dyDescent="0.2">
      <c r="A24" s="296" t="s">
        <v>1664</v>
      </c>
      <c r="B24" s="4">
        <v>9.6765437186105903</v>
      </c>
      <c r="C24" s="4">
        <v>8.2229577736539081</v>
      </c>
      <c r="D24" s="4">
        <v>-1.4535859449566848</v>
      </c>
      <c r="E24" s="3270" t="str">
        <f>IF(       0.451&lt;0.01,"***",IF(       0.451&lt;0.05,"**",IF(       0.451&lt;0.1,"*","NS")))</f>
        <v>NS</v>
      </c>
      <c r="G24" s="296" t="s">
        <v>1768</v>
      </c>
      <c r="H24" s="4">
        <v>9.6765437186105903</v>
      </c>
      <c r="I24" s="4">
        <v>9.7991838320472322</v>
      </c>
      <c r="J24" s="4">
        <v>0.12264011343664655</v>
      </c>
      <c r="K24" s="3271" t="str">
        <f>IF(       0.948&lt;0.01,"***",IF(       0.948&lt;0.05,"**",IF(       0.948&lt;0.1,"*","NS")))</f>
        <v>NS</v>
      </c>
      <c r="L24" s="4">
        <v>4.0095718920113317</v>
      </c>
      <c r="M24" s="4">
        <v>-5.6669718265992621</v>
      </c>
      <c r="N24" s="3272" t="str">
        <f>IF(       0.096&lt;0.01,"***",IF(       0.096&lt;0.05,"**",IF(       0.096&lt;0.1,"*","NS")))</f>
        <v>*</v>
      </c>
      <c r="P24" s="296" t="s">
        <v>1887</v>
      </c>
      <c r="Q24" s="4">
        <v>9.705529970240466</v>
      </c>
      <c r="R24" s="4">
        <v>4.0095718920113317</v>
      </c>
      <c r="S24" s="4">
        <v>-5.6959580782291086</v>
      </c>
      <c r="T24" s="3273" t="str">
        <f>IF(       0.081&lt;0.01,"***",IF(       0.081&lt;0.05,"**",IF(       0.081&lt;0.1,"*","NS")))</f>
        <v>*</v>
      </c>
    </row>
    <row r="25" spans="1:20" x14ac:dyDescent="0.2">
      <c r="A25" s="296" t="s">
        <v>1665</v>
      </c>
      <c r="B25" s="4">
        <v>17.313081187641959</v>
      </c>
      <c r="C25" s="4">
        <v>15.644649169005779</v>
      </c>
      <c r="D25" s="4">
        <v>-1.6684320186361894</v>
      </c>
      <c r="E25" s="3274" t="str">
        <f>IF(       0.428&lt;0.01,"***",IF(       0.428&lt;0.05,"**",IF(       0.428&lt;0.1,"*","NS")))</f>
        <v>NS</v>
      </c>
      <c r="G25" s="296" t="s">
        <v>1769</v>
      </c>
      <c r="H25" s="4">
        <v>17.313081187641959</v>
      </c>
      <c r="I25" s="4">
        <v>15.746059915251299</v>
      </c>
      <c r="J25" s="4">
        <v>-1.5670212723906483</v>
      </c>
      <c r="K25" s="3275" t="str">
        <f>IF(       0.491&lt;0.01,"***",IF(       0.491&lt;0.05,"**",IF(       0.491&lt;0.1,"*","NS")))</f>
        <v>NS</v>
      </c>
      <c r="L25" s="4">
        <v>15.28804496492025</v>
      </c>
      <c r="M25" s="4">
        <v>-2.0250362227217154</v>
      </c>
      <c r="N25" s="3276" t="str">
        <f>IF(       0.53&lt;0.01,"***",IF(       0.53&lt;0.05,"**",IF(       0.53&lt;0.1,"*","NS")))</f>
        <v>NS</v>
      </c>
      <c r="P25" s="296" t="s">
        <v>1888</v>
      </c>
      <c r="Q25" s="4">
        <v>16.83560258515266</v>
      </c>
      <c r="R25" s="4">
        <v>15.28804496492025</v>
      </c>
      <c r="S25" s="4">
        <v>-1.5475576202323975</v>
      </c>
      <c r="T25" s="3277" t="str">
        <f>IF(       0.616&lt;0.01,"***",IF(       0.616&lt;0.05,"**",IF(       0.616&lt;0.1,"*","NS")))</f>
        <v>NS</v>
      </c>
    </row>
    <row r="26" spans="1:20" x14ac:dyDescent="0.2">
      <c r="A26" s="296" t="s">
        <v>1666</v>
      </c>
      <c r="B26" s="4">
        <v>16.922492566368259</v>
      </c>
      <c r="C26" s="4">
        <v>18.712414724591781</v>
      </c>
      <c r="D26" s="4">
        <v>1.7899221582235418</v>
      </c>
      <c r="E26" s="3278" t="str">
        <f>IF(       0.557&lt;0.01,"***",IF(       0.557&lt;0.05,"**",IF(       0.557&lt;0.1,"*","NS")))</f>
        <v>NS</v>
      </c>
      <c r="G26" s="296" t="s">
        <v>1770</v>
      </c>
      <c r="H26" s="4">
        <v>16.922492566368259</v>
      </c>
      <c r="I26" s="4">
        <v>19.68674840911719</v>
      </c>
      <c r="J26" s="4">
        <v>2.7642558427489692</v>
      </c>
      <c r="K26" s="3279" t="str">
        <f>IF(       0.388&lt;0.01,"***",IF(       0.388&lt;0.05,"**",IF(       0.388&lt;0.1,"*","NS")))</f>
        <v>NS</v>
      </c>
      <c r="L26" s="4">
        <v>14.40241001811161</v>
      </c>
      <c r="M26" s="4">
        <v>-2.5200825482566094</v>
      </c>
      <c r="N26" s="3280" t="str">
        <f>IF(       0.557&lt;0.01,"***",IF(       0.557&lt;0.05,"**",IF(       0.557&lt;0.1,"*","NS")))</f>
        <v>NS</v>
      </c>
      <c r="P26" s="296" t="s">
        <v>1889</v>
      </c>
      <c r="Q26" s="4">
        <v>17.66197109785751</v>
      </c>
      <c r="R26" s="4">
        <v>14.40241001811161</v>
      </c>
      <c r="S26" s="4">
        <v>-3.259561079745843</v>
      </c>
      <c r="T26" s="3281" t="str">
        <f>IF(       0.423&lt;0.01,"***",IF(       0.423&lt;0.05,"**",IF(       0.423&lt;0.1,"*","NS")))</f>
        <v>NS</v>
      </c>
    </row>
    <row r="27" spans="1:20" x14ac:dyDescent="0.2">
      <c r="A27" s="296" t="s">
        <v>1667</v>
      </c>
      <c r="B27" s="4">
        <v>34.422106122538082</v>
      </c>
      <c r="C27" s="4">
        <v>30.87463014132247</v>
      </c>
      <c r="D27" s="4">
        <v>-3.5474759812156034</v>
      </c>
      <c r="E27" s="3282" t="str">
        <f>IF(       0.221&lt;0.01,"***",IF(       0.221&lt;0.05,"**",IF(       0.221&lt;0.1,"*","NS")))</f>
        <v>NS</v>
      </c>
      <c r="G27" s="296" t="s">
        <v>1771</v>
      </c>
      <c r="H27" s="4">
        <v>34.422106122538082</v>
      </c>
      <c r="I27" s="4">
        <v>29.196086356844031</v>
      </c>
      <c r="J27" s="4">
        <v>-5.2260197656940441</v>
      </c>
      <c r="K27" s="3283" t="str">
        <f>IF(       0.068&lt;0.01,"***",IF(       0.068&lt;0.05,"**",IF(       0.068&lt;0.1,"*","NS")))</f>
        <v>*</v>
      </c>
      <c r="L27" s="4">
        <v>35.746201978136646</v>
      </c>
      <c r="M27" s="4">
        <v>1.3240958555985609</v>
      </c>
      <c r="N27" s="3284" t="str">
        <f>IF(       0.798&lt;0.01,"***",IF(       0.798&lt;0.05,"**",IF(       0.798&lt;0.1,"*","NS")))</f>
        <v>NS</v>
      </c>
      <c r="P27" s="296" t="s">
        <v>1890</v>
      </c>
      <c r="Q27" s="4">
        <v>32.906639113701992</v>
      </c>
      <c r="R27" s="4">
        <v>35.746201978136646</v>
      </c>
      <c r="S27" s="4">
        <v>2.8395628644346775</v>
      </c>
      <c r="T27" s="3285" t="str">
        <f>IF(       0.566&lt;0.01,"***",IF(       0.566&lt;0.05,"**",IF(       0.566&lt;0.1,"*","NS")))</f>
        <v>NS</v>
      </c>
    </row>
    <row r="28" spans="1:20" x14ac:dyDescent="0.2">
      <c r="A28" s="296" t="s">
        <v>1668</v>
      </c>
      <c r="B28" s="4">
        <v>33.780953594974868</v>
      </c>
      <c r="C28" s="4">
        <v>37.587420566001541</v>
      </c>
      <c r="D28" s="4">
        <v>3.8064669710267141</v>
      </c>
      <c r="E28" s="3286" t="str">
        <f>IF(       0.224&lt;0.01,"***",IF(       0.224&lt;0.05,"**",IF(       0.224&lt;0.1,"*","NS")))</f>
        <v>NS</v>
      </c>
      <c r="G28" s="296" t="s">
        <v>1772</v>
      </c>
      <c r="H28" s="4">
        <v>33.780953594974868</v>
      </c>
      <c r="I28" s="4">
        <v>40.451315224752697</v>
      </c>
      <c r="J28" s="4">
        <v>6.670361629777843</v>
      </c>
      <c r="K28" s="3287" t="str">
        <f>IF(       0.06&lt;0.01,"***",IF(       0.06&lt;0.05,"**",IF(       0.06&lt;0.1,"*","NS")))</f>
        <v>*</v>
      </c>
      <c r="L28" s="4">
        <v>25.316555273956929</v>
      </c>
      <c r="M28" s="4">
        <v>-8.4643983210180114</v>
      </c>
      <c r="N28" s="3288" t="str">
        <f>IF(       0.19&lt;0.01,"***",IF(       0.19&lt;0.05,"**",IF(       0.19&lt;0.1,"*","NS")))</f>
        <v>NS</v>
      </c>
      <c r="P28" s="296" t="s">
        <v>1891</v>
      </c>
      <c r="Q28" s="4">
        <v>34.832904801266338</v>
      </c>
      <c r="R28" s="4">
        <v>25.316555273956929</v>
      </c>
      <c r="S28" s="4">
        <v>-9.5163495273096306</v>
      </c>
      <c r="T28" s="3289" t="str">
        <f>IF(       0.141&lt;0.01,"***",IF(       0.141&lt;0.05,"**",IF(       0.141&lt;0.1,"*","NS")))</f>
        <v>NS</v>
      </c>
    </row>
    <row r="29" spans="1:20" x14ac:dyDescent="0.2">
      <c r="A29" s="296" t="s">
        <v>1669</v>
      </c>
      <c r="B29" s="4">
        <v>1.5411207178499211</v>
      </c>
      <c r="C29" s="4">
        <v>2.8157664922921701</v>
      </c>
      <c r="D29" s="4">
        <v>1.2746457744422481</v>
      </c>
      <c r="E29" s="3290" t="str">
        <f>IF(       0.246&lt;0.01,"***",IF(       0.246&lt;0.05,"**",IF(       0.246&lt;0.1,"*","NS")))</f>
        <v>NS</v>
      </c>
      <c r="G29" s="296" t="s">
        <v>1773</v>
      </c>
      <c r="H29" s="4">
        <v>1.5411207178499211</v>
      </c>
      <c r="I29" s="4">
        <v>3.207475740925696</v>
      </c>
      <c r="J29" s="4">
        <v>1.6663550230757753</v>
      </c>
      <c r="K29" s="3291" t="str">
        <f>IF(       0.189&lt;0.01,"***",IF(       0.189&lt;0.05,"**",IF(       0.189&lt;0.1,"*","NS")))</f>
        <v>NS</v>
      </c>
      <c r="L29" s="4">
        <v>1.4473836644847009</v>
      </c>
      <c r="M29" s="4">
        <v>-9.3737053365216996E-2</v>
      </c>
      <c r="N29" s="3292" t="str">
        <f>IF(       0.937&lt;0.01,"***",IF(       0.937&lt;0.05,"**",IF(       0.937&lt;0.1,"*","NS")))</f>
        <v>NS</v>
      </c>
      <c r="P29" s="296" t="s">
        <v>1892</v>
      </c>
      <c r="Q29" s="4">
        <v>1.8847837058318879</v>
      </c>
      <c r="R29" s="4">
        <v>1.4473836644847009</v>
      </c>
      <c r="S29" s="4">
        <v>-0.43740004134718957</v>
      </c>
      <c r="T29" s="3293" t="str">
        <f>IF(       0.702&lt;0.01,"***",IF(       0.702&lt;0.05,"**",IF(       0.702&lt;0.1,"*","NS")))</f>
        <v>NS</v>
      </c>
    </row>
    <row r="30" spans="1:20" x14ac:dyDescent="0.2">
      <c r="A30" s="296" t="s">
        <v>1670</v>
      </c>
      <c r="B30" s="4">
        <v>20.081271195384129</v>
      </c>
      <c r="C30" s="4">
        <v>14.07132348224836</v>
      </c>
      <c r="D30" s="4">
        <v>-6.0099477131357357</v>
      </c>
      <c r="E30" s="3294" t="str">
        <f>IF(       0.002&lt;0.01,"***",IF(       0.002&lt;0.05,"**",IF(       0.002&lt;0.1,"*","NS")))</f>
        <v>***</v>
      </c>
      <c r="G30" s="296" t="s">
        <v>1774</v>
      </c>
      <c r="H30" s="4">
        <v>20.081271195384129</v>
      </c>
      <c r="I30" s="4">
        <v>14.9960580743683</v>
      </c>
      <c r="J30" s="4">
        <v>-5.0852131210158298</v>
      </c>
      <c r="K30" s="3295" t="str">
        <f>IF(       0.05&lt;0.01,"***",IF(       0.05&lt;0.05,"**",IF(       0.05&lt;0.1,"*","NS")))</f>
        <v>*</v>
      </c>
      <c r="L30" s="4">
        <v>12.68944099172154</v>
      </c>
      <c r="M30" s="4">
        <v>-7.3918302036625931</v>
      </c>
      <c r="N30" s="3296" t="str">
        <f>IF(       0&lt;0.01,"***",IF(       0&lt;0.05,"**",IF(       0&lt;0.1,"*","NS")))</f>
        <v>***</v>
      </c>
      <c r="P30" s="296" t="s">
        <v>1893</v>
      </c>
      <c r="Q30" s="4">
        <v>18.15925030559746</v>
      </c>
      <c r="R30" s="4">
        <v>12.68944099172154</v>
      </c>
      <c r="S30" s="4">
        <v>-5.4698093138759454</v>
      </c>
      <c r="T30" s="3297" t="str">
        <f>IF(       0.006&lt;0.01,"***",IF(       0.006&lt;0.05,"**",IF(       0.006&lt;0.1,"*","NS")))</f>
        <v>***</v>
      </c>
    </row>
    <row r="31" spans="1:20" x14ac:dyDescent="0.2">
      <c r="A31" s="296" t="s">
        <v>1671</v>
      </c>
      <c r="B31" s="4">
        <v>11.74680143303766</v>
      </c>
      <c r="C31" s="4">
        <v>9.3023791014384294</v>
      </c>
      <c r="D31" s="4">
        <v>-2.4444223315992448</v>
      </c>
      <c r="E31" s="3298" t="str">
        <f>IF(       0.119&lt;0.01,"***",IF(       0.119&lt;0.05,"**",IF(       0.119&lt;0.1,"*","NS")))</f>
        <v>NS</v>
      </c>
      <c r="G31" s="296" t="s">
        <v>1775</v>
      </c>
      <c r="H31" s="4">
        <v>11.74680143303766</v>
      </c>
      <c r="I31" s="4">
        <v>9.5902462381034859</v>
      </c>
      <c r="J31" s="4">
        <v>-2.1565551949341644</v>
      </c>
      <c r="K31" s="3299" t="str">
        <f>IF(       0.207&lt;0.01,"***",IF(       0.207&lt;0.05,"**",IF(       0.207&lt;0.1,"*","NS")))</f>
        <v>NS</v>
      </c>
      <c r="L31" s="4">
        <v>8.361929687073097</v>
      </c>
      <c r="M31" s="4">
        <v>-3.3848717459645443</v>
      </c>
      <c r="N31" s="3300" t="str">
        <f>IF(       0.13&lt;0.01,"***",IF(       0.13&lt;0.05,"**",IF(       0.13&lt;0.1,"*","NS")))</f>
        <v>NS</v>
      </c>
      <c r="P31" s="296" t="s">
        <v>1894</v>
      </c>
      <c r="Q31" s="4">
        <v>10.870393762770149</v>
      </c>
      <c r="R31" s="4">
        <v>8.361929687073097</v>
      </c>
      <c r="S31" s="4">
        <v>-2.5084640756970278</v>
      </c>
      <c r="T31" s="3301" t="str">
        <f>IF(       0.232&lt;0.01,"***",IF(       0.232&lt;0.05,"**",IF(       0.232&lt;0.1,"*","NS")))</f>
        <v>NS</v>
      </c>
    </row>
    <row r="32" spans="1:20" x14ac:dyDescent="0.2">
      <c r="A32" s="296" t="s">
        <v>1672</v>
      </c>
      <c r="B32" s="4">
        <v>38.52121104385531</v>
      </c>
      <c r="C32" s="4">
        <v>40.026852117436377</v>
      </c>
      <c r="D32" s="4">
        <v>1.5056410735810841</v>
      </c>
      <c r="E32" s="3302" t="str">
        <f>IF(       0.448&lt;0.01,"***",IF(       0.448&lt;0.05,"**",IF(       0.448&lt;0.1,"*","NS")))</f>
        <v>NS</v>
      </c>
      <c r="G32" s="296" t="s">
        <v>1776</v>
      </c>
      <c r="H32" s="4">
        <v>38.52121104385531</v>
      </c>
      <c r="I32" s="4">
        <v>37.395787819296807</v>
      </c>
      <c r="J32" s="4">
        <v>-1.125423224558501</v>
      </c>
      <c r="K32" s="3303" t="str">
        <f>IF(       0.609&lt;0.01,"***",IF(       0.609&lt;0.05,"**",IF(       0.609&lt;0.1,"*","NS")))</f>
        <v>NS</v>
      </c>
      <c r="L32" s="4">
        <v>46.846103823748287</v>
      </c>
      <c r="M32" s="4">
        <v>8.3248927798929522</v>
      </c>
      <c r="N32" s="3304" t="str">
        <f>IF(       0.078&lt;0.01,"***",IF(       0.078&lt;0.05,"**",IF(       0.078&lt;0.1,"*","NS")))</f>
        <v>*</v>
      </c>
      <c r="P32" s="296" t="s">
        <v>1895</v>
      </c>
      <c r="Q32" s="4">
        <v>38.226627998231841</v>
      </c>
      <c r="R32" s="4">
        <v>46.846103823748287</v>
      </c>
      <c r="S32" s="4">
        <v>8.6194758255163926</v>
      </c>
      <c r="T32" s="3305" t="str">
        <f>IF(       0.073&lt;0.01,"***",IF(       0.073&lt;0.05,"**",IF(       0.073&lt;0.1,"*","NS")))</f>
        <v>*</v>
      </c>
    </row>
    <row r="33" spans="1:20" x14ac:dyDescent="0.2">
      <c r="A33" s="296" t="s">
        <v>1673</v>
      </c>
      <c r="B33" s="4">
        <v>44.866021211838962</v>
      </c>
      <c r="C33" s="4">
        <v>37.994836838058937</v>
      </c>
      <c r="D33" s="4">
        <v>-6.8711843737799692</v>
      </c>
      <c r="E33" s="3306" t="str">
        <f>IF(       0.05&lt;0.01,"***",IF(       0.05&lt;0.05,"**",IF(       0.05&lt;0.1,"*","NS")))</f>
        <v>*</v>
      </c>
      <c r="G33" s="296" t="s">
        <v>1777</v>
      </c>
      <c r="H33" s="4">
        <v>44.866021211838962</v>
      </c>
      <c r="I33" s="4">
        <v>38.993596336051738</v>
      </c>
      <c r="J33" s="4">
        <v>-5.872424875787198</v>
      </c>
      <c r="K33" s="3307" t="str">
        <f>IF(       0.071&lt;0.01,"***",IF(       0.071&lt;0.05,"**",IF(       0.071&lt;0.1,"*","NS")))</f>
        <v>*</v>
      </c>
      <c r="L33" s="4">
        <v>35.235094393424014</v>
      </c>
      <c r="M33" s="4">
        <v>-9.6309268184149222</v>
      </c>
      <c r="N33" s="3308" t="str">
        <f>IF(       0.076&lt;0.01,"***",IF(       0.076&lt;0.05,"**",IF(       0.076&lt;0.1,"*","NS")))</f>
        <v>*</v>
      </c>
      <c r="P33" s="296" t="s">
        <v>1896</v>
      </c>
      <c r="Q33" s="4">
        <v>43.491421171999839</v>
      </c>
      <c r="R33" s="4">
        <v>35.235094393424014</v>
      </c>
      <c r="S33" s="4">
        <v>-8.2563267785759429</v>
      </c>
      <c r="T33" s="3309" t="str">
        <f>IF(       0.098&lt;0.01,"***",IF(       0.098&lt;0.05,"**",IF(       0.098&lt;0.1,"*","NS")))</f>
        <v>*</v>
      </c>
    </row>
    <row r="34" spans="1:20" x14ac:dyDescent="0.2">
      <c r="A34" s="296" t="s">
        <v>1674</v>
      </c>
      <c r="B34" s="4">
        <v>15.940543704383421</v>
      </c>
      <c r="C34" s="4">
        <v>19.99307827880893</v>
      </c>
      <c r="D34" s="4">
        <v>4.0525345744255015</v>
      </c>
      <c r="E34" s="3310" t="str">
        <f>IF(       0.126&lt;0.01,"***",IF(       0.126&lt;0.05,"**",IF(       0.126&lt;0.1,"*","NS")))</f>
        <v>NS</v>
      </c>
      <c r="G34" s="296" t="s">
        <v>1778</v>
      </c>
      <c r="H34" s="4">
        <v>15.940543704383421</v>
      </c>
      <c r="I34" s="4">
        <v>17.078934283815862</v>
      </c>
      <c r="J34" s="4">
        <v>1.1383905794324383</v>
      </c>
      <c r="K34" s="3311" t="str">
        <f>IF(       0.644&lt;0.01,"***",IF(       0.644&lt;0.05,"**",IF(       0.644&lt;0.1,"*","NS")))</f>
        <v>NS</v>
      </c>
      <c r="L34" s="4">
        <v>29.645707882479702</v>
      </c>
      <c r="M34" s="4">
        <v>13.705164178096256</v>
      </c>
      <c r="N34" s="3312" t="str">
        <f>IF(       0.014&lt;0.01,"***",IF(       0.014&lt;0.05,"**",IF(       0.014&lt;0.1,"*","NS")))</f>
        <v>**</v>
      </c>
      <c r="P34" s="296" t="s">
        <v>1897</v>
      </c>
      <c r="Q34" s="4">
        <v>16.22538435123046</v>
      </c>
      <c r="R34" s="4">
        <v>29.645707882479702</v>
      </c>
      <c r="S34" s="4">
        <v>13.420323531249247</v>
      </c>
      <c r="T34" s="3313" t="str">
        <f>IF(       0.014&lt;0.01,"***",IF(       0.014&lt;0.05,"**",IF(       0.014&lt;0.1,"*","NS")))</f>
        <v>**</v>
      </c>
    </row>
    <row r="35" spans="1:20" x14ac:dyDescent="0.2">
      <c r="A35" s="296" t="s">
        <v>1675</v>
      </c>
      <c r="B35" s="4">
        <v>16.780067812941869</v>
      </c>
      <c r="C35" s="4">
        <v>11.53216864393911</v>
      </c>
      <c r="D35" s="4">
        <v>-5.2478991690027907</v>
      </c>
      <c r="E35" s="3314" t="str">
        <f>IF(       0.008&lt;0.01,"***",IF(       0.008&lt;0.05,"**",IF(       0.008&lt;0.1,"*","NS")))</f>
        <v>***</v>
      </c>
      <c r="G35" s="296" t="s">
        <v>1779</v>
      </c>
      <c r="H35" s="4">
        <v>16.780067812941869</v>
      </c>
      <c r="I35" s="4">
        <v>12.48323146211616</v>
      </c>
      <c r="J35" s="4">
        <v>-4.296836350825755</v>
      </c>
      <c r="K35" s="3315" t="str">
        <f>IF(       0.037&lt;0.01,"***",IF(       0.037&lt;0.05,"**",IF(       0.037&lt;0.1,"*","NS")))</f>
        <v>**</v>
      </c>
      <c r="L35" s="4">
        <v>9.609542199902906</v>
      </c>
      <c r="M35" s="4">
        <v>-7.1705256130389659</v>
      </c>
      <c r="N35" s="3316" t="str">
        <f>IF(       0.005&lt;0.01,"***",IF(       0.005&lt;0.05,"**",IF(       0.005&lt;0.1,"*","NS")))</f>
        <v>***</v>
      </c>
      <c r="P35" s="296" t="s">
        <v>1898</v>
      </c>
      <c r="Q35" s="4">
        <v>15.33467025327556</v>
      </c>
      <c r="R35" s="4">
        <v>9.609542199902906</v>
      </c>
      <c r="S35" s="4">
        <v>-5.7251280533726474</v>
      </c>
      <c r="T35" s="3317" t="str">
        <f>IF(       0.013&lt;0.01,"***",IF(       0.013&lt;0.05,"**",IF(       0.013&lt;0.1,"*","NS")))</f>
        <v>**</v>
      </c>
    </row>
    <row r="36" spans="1:20" x14ac:dyDescent="0.2">
      <c r="A36" s="296" t="s">
        <v>1676</v>
      </c>
      <c r="B36" s="4">
        <v>6.4846971110976233</v>
      </c>
      <c r="C36" s="4">
        <v>5.0462955768751048</v>
      </c>
      <c r="D36" s="4">
        <v>-1.4384015342225205</v>
      </c>
      <c r="E36" s="3318" t="str">
        <f>IF(       0.251&lt;0.01,"***",IF(       0.251&lt;0.05,"**",IF(       0.251&lt;0.1,"*","NS")))</f>
        <v>NS</v>
      </c>
      <c r="G36" s="296" t="s">
        <v>1780</v>
      </c>
      <c r="H36" s="4">
        <v>6.4846971110976233</v>
      </c>
      <c r="I36" s="4">
        <v>4.5777561854881883</v>
      </c>
      <c r="J36" s="4">
        <v>-1.9069409256094281</v>
      </c>
      <c r="K36" s="3319" t="str">
        <f>IF(       0.148&lt;0.01,"***",IF(       0.148&lt;0.05,"**",IF(       0.148&lt;0.1,"*","NS")))</f>
        <v>NS</v>
      </c>
      <c r="L36" s="4">
        <v>6.721398048144791</v>
      </c>
      <c r="M36" s="4">
        <v>0.23670093704716591</v>
      </c>
      <c r="N36" s="3320" t="str">
        <f>IF(       0.935&lt;0.01,"***",IF(       0.935&lt;0.05,"**",IF(       0.935&lt;0.1,"*","NS")))</f>
        <v>NS</v>
      </c>
      <c r="P36" s="296" t="s">
        <v>1899</v>
      </c>
      <c r="Q36" s="4">
        <v>5.9633778906502464</v>
      </c>
      <c r="R36" s="4">
        <v>6.721398048144791</v>
      </c>
      <c r="S36" s="4">
        <v>0.75802015749455531</v>
      </c>
      <c r="T36" s="3321" t="str">
        <f>IF(       0.793&lt;0.01,"***",IF(       0.793&lt;0.05,"**",IF(       0.793&lt;0.1,"*","NS")))</f>
        <v>NS</v>
      </c>
    </row>
    <row r="37" spans="1:20" x14ac:dyDescent="0.2">
      <c r="A37" s="296" t="s">
        <v>5835</v>
      </c>
      <c r="B37" s="4">
        <v>23.898997697325552</v>
      </c>
      <c r="C37" s="4">
        <v>20.526548093151849</v>
      </c>
      <c r="D37" s="4">
        <v>-3.3724496041736658</v>
      </c>
      <c r="E37" s="3322" t="str">
        <f>IF(       0&lt;0.01,"***",IF(       0&lt;0.05,"**",IF(       0&lt;0.1,"*","NS")))</f>
        <v>***</v>
      </c>
      <c r="G37" s="296" t="s">
        <v>5835</v>
      </c>
      <c r="H37" s="4">
        <v>23.898997697325552</v>
      </c>
      <c r="I37" s="4">
        <v>20.43878287455631</v>
      </c>
      <c r="J37" s="4">
        <v>-3.460214822769252</v>
      </c>
      <c r="K37" s="3323" t="str">
        <f>IF(       0&lt;0.01,"***",IF(       0&lt;0.05,"**",IF(       0&lt;0.1,"*","NS")))</f>
        <v>***</v>
      </c>
      <c r="L37" s="4">
        <v>20.772680052694419</v>
      </c>
      <c r="M37" s="4">
        <v>-3.1263176446310923</v>
      </c>
      <c r="N37" s="3324" t="str">
        <f>IF(       0.017&lt;0.01,"***",IF(       0.017&lt;0.05,"**",IF(       0.017&lt;0.1,"*","NS")))</f>
        <v>**</v>
      </c>
      <c r="P37" s="296" t="s">
        <v>5835</v>
      </c>
      <c r="Q37" s="4">
        <v>22.91599326727307</v>
      </c>
      <c r="R37" s="4">
        <v>20.772680052694419</v>
      </c>
      <c r="S37" s="4">
        <v>-2.1433132145786531</v>
      </c>
      <c r="T37" s="3325" t="str">
        <f>IF(       0.086&lt;0.01,"***",IF(       0.086&lt;0.05,"**",IF(       0.086&lt;0.1,"*","NS")))</f>
        <v>*</v>
      </c>
    </row>
    <row r="39" spans="1:20" x14ac:dyDescent="0.2">
      <c r="A39" s="296" t="s">
        <v>1677</v>
      </c>
      <c r="G39" s="296" t="s">
        <v>1781</v>
      </c>
      <c r="P39" s="296" t="s">
        <v>1900</v>
      </c>
    </row>
    <row r="40" spans="1:20" s="3" customFormat="1" x14ac:dyDescent="0.2">
      <c r="A40" s="6036" t="s">
        <v>1678</v>
      </c>
      <c r="B40" s="6037" t="s">
        <v>1679</v>
      </c>
      <c r="C40" s="6038" t="s">
        <v>1680</v>
      </c>
      <c r="D40" s="6039" t="s">
        <v>1681</v>
      </c>
      <c r="E40" s="6040" t="s">
        <v>1682</v>
      </c>
      <c r="G40" s="6041" t="s">
        <v>1782</v>
      </c>
      <c r="H40" s="6042" t="s">
        <v>1783</v>
      </c>
      <c r="I40" s="6043" t="s">
        <v>1784</v>
      </c>
      <c r="J40" s="6044" t="s">
        <v>1785</v>
      </c>
      <c r="K40" s="6045" t="s">
        <v>1786</v>
      </c>
      <c r="L40" s="6046" t="s">
        <v>1849</v>
      </c>
      <c r="M40" s="6047" t="s">
        <v>1850</v>
      </c>
      <c r="N40" s="6048" t="s">
        <v>1851</v>
      </c>
      <c r="P40" s="6049" t="s">
        <v>1901</v>
      </c>
      <c r="Q40" s="6050" t="s">
        <v>1902</v>
      </c>
      <c r="R40" s="6051" t="s">
        <v>1903</v>
      </c>
      <c r="S40" s="6052" t="s">
        <v>1904</v>
      </c>
      <c r="T40" s="6053" t="s">
        <v>1905</v>
      </c>
    </row>
    <row r="41" spans="1:20" x14ac:dyDescent="0.2">
      <c r="A41" s="296" t="s">
        <v>1683</v>
      </c>
      <c r="B41" s="4">
        <v>9.9472727585053704</v>
      </c>
      <c r="C41" s="4">
        <v>12.774464829854949</v>
      </c>
      <c r="D41" s="4">
        <v>2.8271920713495544</v>
      </c>
      <c r="E41" s="3326" t="str">
        <f>IF(       0.332&lt;0.01,"***",IF(       0.332&lt;0.05,"**",IF(       0.332&lt;0.1,"*","NS")))</f>
        <v>NS</v>
      </c>
      <c r="G41" s="296" t="s">
        <v>1787</v>
      </c>
      <c r="H41" s="4">
        <v>9.9472727585053704</v>
      </c>
      <c r="I41" s="4">
        <v>12.50918791895878</v>
      </c>
      <c r="J41" s="4">
        <v>2.5619151604534176</v>
      </c>
      <c r="K41" s="3327" t="str">
        <f>IF(       0.361&lt;0.01,"***",IF(       0.361&lt;0.05,"**",IF(       0.361&lt;0.1,"*","NS")))</f>
        <v>NS</v>
      </c>
      <c r="L41" s="4">
        <v>14.01203795689362</v>
      </c>
      <c r="M41" s="4">
        <v>4.0647651983882671</v>
      </c>
      <c r="N41" s="3328" t="str">
        <f>IF(       0.457&lt;0.01,"***",IF(       0.457&lt;0.05,"**",IF(       0.457&lt;0.1,"*","NS")))</f>
        <v>NS</v>
      </c>
      <c r="P41" s="296" t="s">
        <v>1906</v>
      </c>
      <c r="Q41" s="4">
        <v>10.81431830218242</v>
      </c>
      <c r="R41" s="4">
        <v>14.01203795689362</v>
      </c>
      <c r="S41" s="4">
        <v>3.1977196547111979</v>
      </c>
      <c r="T41" s="3329" t="str">
        <f>IF(       0.527&lt;0.01,"***",IF(       0.527&lt;0.05,"**",IF(       0.527&lt;0.1,"*","NS")))</f>
        <v>NS</v>
      </c>
    </row>
    <row r="42" spans="1:20" x14ac:dyDescent="0.2">
      <c r="A42" s="296" t="s">
        <v>1684</v>
      </c>
      <c r="B42" s="4">
        <v>18.805953152960129</v>
      </c>
      <c r="C42" s="4">
        <v>12.154352555706909</v>
      </c>
      <c r="D42" s="4">
        <v>-6.6516005972532266</v>
      </c>
      <c r="E42" s="3330" t="str">
        <f>IF(       0.004&lt;0.01,"***",IF(       0.004&lt;0.05,"**",IF(       0.004&lt;0.1,"*","NS")))</f>
        <v>***</v>
      </c>
      <c r="G42" s="296" t="s">
        <v>1788</v>
      </c>
      <c r="H42" s="4">
        <v>18.805953152960129</v>
      </c>
      <c r="I42" s="4">
        <v>13.233790501623069</v>
      </c>
      <c r="J42" s="4">
        <v>-5.5721626513371003</v>
      </c>
      <c r="K42" s="3331" t="str">
        <f>IF(       0.034&lt;0.01,"***",IF(       0.034&lt;0.05,"**",IF(       0.034&lt;0.1,"*","NS")))</f>
        <v>**</v>
      </c>
      <c r="L42" s="4">
        <v>9.2445231353816695</v>
      </c>
      <c r="M42" s="4">
        <v>-9.5614300175784397</v>
      </c>
      <c r="N42" s="3332" t="str">
        <f>IF(       0.009&lt;0.01,"***",IF(       0.009&lt;0.05,"**",IF(       0.009&lt;0.1,"*","NS")))</f>
        <v>***</v>
      </c>
      <c r="P42" s="296" t="s">
        <v>1907</v>
      </c>
      <c r="Q42" s="4">
        <v>17.470568074305771</v>
      </c>
      <c r="R42" s="4">
        <v>9.2445231353816695</v>
      </c>
      <c r="S42" s="4">
        <v>-8.2260449389240584</v>
      </c>
      <c r="T42" s="3333" t="str">
        <f>IF(       0.022&lt;0.01,"***",IF(       0.022&lt;0.05,"**",IF(       0.022&lt;0.1,"*","NS")))</f>
        <v>**</v>
      </c>
    </row>
    <row r="43" spans="1:20" x14ac:dyDescent="0.2">
      <c r="A43" s="296" t="s">
        <v>1685</v>
      </c>
      <c r="B43" s="4">
        <v>9.1319267144307794</v>
      </c>
      <c r="C43" s="4">
        <v>6.0773481827649993</v>
      </c>
      <c r="D43" s="4">
        <v>-3.054578531665777</v>
      </c>
      <c r="E43" s="3334" t="str">
        <f>IF(       0.203&lt;0.01,"***",IF(       0.203&lt;0.05,"**",IF(       0.203&lt;0.1,"*","NS")))</f>
        <v>NS</v>
      </c>
      <c r="G43" s="296" t="s">
        <v>1789</v>
      </c>
      <c r="H43" s="4">
        <v>9.1319267144307794</v>
      </c>
      <c r="I43" s="4">
        <v>5.9985412375113727</v>
      </c>
      <c r="J43" s="4">
        <v>-3.1333854769194036</v>
      </c>
      <c r="K43" s="3335" t="str">
        <f>IF(       0.139&lt;0.01,"***",IF(       0.139&lt;0.05,"**",IF(       0.139&lt;0.1,"*","NS")))</f>
        <v>NS</v>
      </c>
      <c r="L43" s="4">
        <v>6.3514797591635217</v>
      </c>
      <c r="M43" s="4">
        <v>-2.7804469552672479</v>
      </c>
      <c r="N43" s="3336" t="str">
        <f>IF(       0.489&lt;0.01,"***",IF(       0.489&lt;0.05,"**",IF(       0.489&lt;0.1,"*","NS")))</f>
        <v>NS</v>
      </c>
      <c r="P43" s="296" t="s">
        <v>1908</v>
      </c>
      <c r="Q43" s="4">
        <v>8.3885360405853824</v>
      </c>
      <c r="R43" s="4">
        <v>6.3514797591635217</v>
      </c>
      <c r="S43" s="4">
        <v>-2.037056281421866</v>
      </c>
      <c r="T43" s="3337" t="str">
        <f>IF(       0.578&lt;0.01,"***",IF(       0.578&lt;0.05,"**",IF(       0.578&lt;0.1,"*","NS")))</f>
        <v>NS</v>
      </c>
    </row>
    <row r="44" spans="1:20" x14ac:dyDescent="0.2">
      <c r="A44" s="296" t="s">
        <v>1686</v>
      </c>
      <c r="B44" s="4">
        <v>15.20482273599743</v>
      </c>
      <c r="C44" s="4">
        <v>15.93050096647597</v>
      </c>
      <c r="D44" s="4">
        <v>0.72567823047854185</v>
      </c>
      <c r="E44" s="3338" t="str">
        <f>IF(       0.761&lt;0.01,"***",IF(       0.761&lt;0.05,"**",IF(       0.761&lt;0.1,"*","NS")))</f>
        <v>NS</v>
      </c>
      <c r="G44" s="296" t="s">
        <v>1790</v>
      </c>
      <c r="H44" s="4">
        <v>15.20482273599743</v>
      </c>
      <c r="I44" s="4">
        <v>15.24808626616152</v>
      </c>
      <c r="J44" s="4">
        <v>4.3263530164077552E-2</v>
      </c>
      <c r="K44" s="3339" t="str">
        <f>IF(       0.987&lt;0.01,"***",IF(       0.987&lt;0.05,"**",IF(       0.987&lt;0.1,"*","NS")))</f>
        <v>NS</v>
      </c>
      <c r="L44" s="4">
        <v>18.776400097121179</v>
      </c>
      <c r="M44" s="4">
        <v>3.571577361123778</v>
      </c>
      <c r="N44" s="3340" t="str">
        <f>IF(       0.403&lt;0.01,"***",IF(       0.403&lt;0.05,"**",IF(       0.403&lt;0.1,"*","NS")))</f>
        <v>NS</v>
      </c>
      <c r="P44" s="296" t="s">
        <v>1909</v>
      </c>
      <c r="Q44" s="4">
        <v>15.216919958038419</v>
      </c>
      <c r="R44" s="4">
        <v>18.776400097121179</v>
      </c>
      <c r="S44" s="4">
        <v>3.5594801390827571</v>
      </c>
      <c r="T44" s="3341" t="str">
        <f>IF(       0.409&lt;0.01,"***",IF(       0.409&lt;0.05,"**",IF(       0.409&lt;0.1,"*","NS")))</f>
        <v>NS</v>
      </c>
    </row>
    <row r="45" spans="1:20" x14ac:dyDescent="0.2">
      <c r="A45" s="296" t="s">
        <v>1687</v>
      </c>
      <c r="B45" s="4">
        <v>18.455018924597681</v>
      </c>
      <c r="C45" s="4">
        <v>18.246573745490309</v>
      </c>
      <c r="D45" s="4">
        <v>-0.20844517910736871</v>
      </c>
      <c r="E45" s="3342" t="str">
        <f>IF(       0.948&lt;0.01,"***",IF(       0.948&lt;0.05,"**",IF(       0.948&lt;0.1,"*","NS")))</f>
        <v>NS</v>
      </c>
      <c r="G45" s="296" t="s">
        <v>1791</v>
      </c>
      <c r="H45" s="4">
        <v>18.455018924597681</v>
      </c>
      <c r="I45" s="4">
        <v>18.068343712809959</v>
      </c>
      <c r="J45" s="4">
        <v>-0.38667521178773495</v>
      </c>
      <c r="K45" s="3343" t="str">
        <f>IF(       0.909&lt;0.01,"***",IF(       0.909&lt;0.05,"**",IF(       0.909&lt;0.1,"*","NS")))</f>
        <v>NS</v>
      </c>
      <c r="L45" s="4">
        <v>19.159793061872019</v>
      </c>
      <c r="M45" s="4">
        <v>0.70477413727433702</v>
      </c>
      <c r="N45" s="3344" t="str">
        <f>IF(       0.913&lt;0.01,"***",IF(       0.913&lt;0.05,"**",IF(       0.913&lt;0.1,"*","NS")))</f>
        <v>NS</v>
      </c>
      <c r="P45" s="296" t="s">
        <v>1910</v>
      </c>
      <c r="Q45" s="4">
        <v>18.354220745202021</v>
      </c>
      <c r="R45" s="4">
        <v>19.159793061872019</v>
      </c>
      <c r="S45" s="4">
        <v>0.80557231667004081</v>
      </c>
      <c r="T45" s="3345" t="str">
        <f>IF(       0.899&lt;0.01,"***",IF(       0.899&lt;0.05,"**",IF(       0.899&lt;0.1,"*","NS")))</f>
        <v>NS</v>
      </c>
    </row>
    <row r="46" spans="1:20" x14ac:dyDescent="0.2">
      <c r="A46" s="296" t="s">
        <v>1688</v>
      </c>
      <c r="B46" s="4">
        <v>31.939787861330149</v>
      </c>
      <c r="C46" s="4">
        <v>31.162673331052829</v>
      </c>
      <c r="D46" s="4">
        <v>-0.77711453027730937</v>
      </c>
      <c r="E46" s="3346" t="str">
        <f>IF(       0.862&lt;0.01,"***",IF(       0.862&lt;0.05,"**",IF(       0.862&lt;0.1,"*","NS")))</f>
        <v>NS</v>
      </c>
      <c r="G46" s="296" t="s">
        <v>1792</v>
      </c>
      <c r="H46" s="4">
        <v>31.939787861330149</v>
      </c>
      <c r="I46" s="4">
        <v>32.025609299921108</v>
      </c>
      <c r="J46" s="4">
        <v>8.5821438590962001E-2</v>
      </c>
      <c r="K46" s="3347" t="str">
        <f>IF(       0.985&lt;0.01,"***",IF(       0.985&lt;0.05,"**",IF(       0.985&lt;0.1,"*","NS")))</f>
        <v>NS</v>
      </c>
      <c r="L46" s="4">
        <v>28.157666778457781</v>
      </c>
      <c r="M46" s="4">
        <v>-3.7821210828722607</v>
      </c>
      <c r="N46" s="3348" t="str">
        <f>IF(       0.578&lt;0.01,"***",IF(       0.578&lt;0.05,"**",IF(       0.578&lt;0.1,"*","NS")))</f>
        <v>NS</v>
      </c>
      <c r="P46" s="296" t="s">
        <v>1911</v>
      </c>
      <c r="Q46" s="4">
        <v>31.96287893207947</v>
      </c>
      <c r="R46" s="4">
        <v>28.157666778457781</v>
      </c>
      <c r="S46" s="4">
        <v>-3.8052121536216337</v>
      </c>
      <c r="T46" s="3349" t="str">
        <f>IF(       0.552&lt;0.01,"***",IF(       0.552&lt;0.05,"**",IF(       0.552&lt;0.1,"*","NS")))</f>
        <v>NS</v>
      </c>
    </row>
    <row r="47" spans="1:20" x14ac:dyDescent="0.2">
      <c r="A47" s="296" t="s">
        <v>1689</v>
      </c>
      <c r="B47" s="4" t="s">
        <v>6067</v>
      </c>
      <c r="C47" s="4" t="s">
        <v>6067</v>
      </c>
      <c r="D47" s="4" t="s">
        <v>6067</v>
      </c>
      <c r="E47" s="4" t="s">
        <v>6067</v>
      </c>
      <c r="G47" s="296" t="s">
        <v>1793</v>
      </c>
      <c r="H47" s="4" t="s">
        <v>6067</v>
      </c>
      <c r="I47" s="4" t="s">
        <v>6067</v>
      </c>
      <c r="J47" s="4" t="s">
        <v>6067</v>
      </c>
      <c r="K47" s="4" t="s">
        <v>6067</v>
      </c>
      <c r="L47" s="4" t="s">
        <v>6067</v>
      </c>
      <c r="M47" s="4" t="s">
        <v>6067</v>
      </c>
      <c r="N47" s="4" t="s">
        <v>6067</v>
      </c>
      <c r="P47" s="296" t="s">
        <v>1912</v>
      </c>
      <c r="Q47" s="4" t="s">
        <v>6067</v>
      </c>
      <c r="R47" s="4" t="s">
        <v>6067</v>
      </c>
      <c r="S47" s="4" t="s">
        <v>6067</v>
      </c>
      <c r="T47" s="4" t="s">
        <v>6067</v>
      </c>
    </row>
    <row r="48" spans="1:20" x14ac:dyDescent="0.2">
      <c r="A48" s="296" t="s">
        <v>1690</v>
      </c>
      <c r="B48" s="4">
        <v>1.871980640087521</v>
      </c>
      <c r="C48" s="4">
        <v>4.1339844463633586</v>
      </c>
      <c r="D48" s="4">
        <v>2.2620038062758265</v>
      </c>
      <c r="E48" s="3350" t="str">
        <f>IF(       0.057&lt;0.01,"***",IF(       0.057&lt;0.05,"**",IF(       0.057&lt;0.1,"*","NS")))</f>
        <v>*</v>
      </c>
      <c r="G48" s="296" t="s">
        <v>1794</v>
      </c>
      <c r="H48" s="4">
        <v>1.871980640087521</v>
      </c>
      <c r="I48" s="4">
        <v>2.9507805127914142</v>
      </c>
      <c r="J48" s="4">
        <v>1.0787998727038905</v>
      </c>
      <c r="K48" s="3351" t="str">
        <f>IF(       0.526&lt;0.01,"***",IF(       0.526&lt;0.05,"**",IF(       0.526&lt;0.1,"*","NS")))</f>
        <v>NS</v>
      </c>
      <c r="L48" s="4">
        <v>7.6704304189803452</v>
      </c>
      <c r="M48" s="4">
        <v>5.7984497788927944</v>
      </c>
      <c r="N48" s="3352" t="str">
        <f>IF(       0.249&lt;0.01,"***",IF(       0.249&lt;0.05,"**",IF(       0.249&lt;0.1,"*","NS")))</f>
        <v>NS</v>
      </c>
      <c r="P48" s="296" t="s">
        <v>1913</v>
      </c>
      <c r="Q48" s="4">
        <v>2.0451476159296278</v>
      </c>
      <c r="R48" s="4">
        <v>7.6704304189803452</v>
      </c>
      <c r="S48" s="4">
        <v>5.6252828030507454</v>
      </c>
      <c r="T48" s="3353" t="str">
        <f>IF(       0.279&lt;0.01,"***",IF(       0.279&lt;0.05,"**",IF(       0.279&lt;0.1,"*","NS")))</f>
        <v>NS</v>
      </c>
    </row>
    <row r="49" spans="1:20" x14ac:dyDescent="0.2">
      <c r="A49" s="296" t="s">
        <v>1691</v>
      </c>
      <c r="B49" s="4">
        <v>23.27624006156697</v>
      </c>
      <c r="C49" s="4">
        <v>13.361258313036251</v>
      </c>
      <c r="D49" s="4">
        <v>-9.914981748530721</v>
      </c>
      <c r="E49" s="3354" t="str">
        <f>IF(       0.001&lt;0.01,"***",IF(       0.001&lt;0.05,"**",IF(       0.001&lt;0.1,"*","NS")))</f>
        <v>***</v>
      </c>
      <c r="G49" s="296" t="s">
        <v>1795</v>
      </c>
      <c r="H49" s="4">
        <v>23.27624006156697</v>
      </c>
      <c r="I49" s="4">
        <v>12.854533676986129</v>
      </c>
      <c r="J49" s="4">
        <v>-10.421706384580773</v>
      </c>
      <c r="K49" s="3355" t="str">
        <f>IF(       0.002&lt;0.01,"***",IF(       0.002&lt;0.05,"**",IF(       0.002&lt;0.1,"*","NS")))</f>
        <v>***</v>
      </c>
      <c r="L49" s="4">
        <v>14.26133051292684</v>
      </c>
      <c r="M49" s="4">
        <v>-9.014909548640194</v>
      </c>
      <c r="N49" s="3356" t="str">
        <f>IF(       0.008&lt;0.01,"***",IF(       0.008&lt;0.05,"**",IF(       0.008&lt;0.1,"*","NS")))</f>
        <v>***</v>
      </c>
      <c r="P49" s="296" t="s">
        <v>1914</v>
      </c>
      <c r="Q49" s="4">
        <v>20.193831861883151</v>
      </c>
      <c r="R49" s="4">
        <v>14.26133051292684</v>
      </c>
      <c r="S49" s="4">
        <v>-5.9325013489562881</v>
      </c>
      <c r="T49" s="3357" t="str">
        <f>IF(       0.055&lt;0.01,"***",IF(       0.055&lt;0.05,"**",IF(       0.055&lt;0.1,"*","NS")))</f>
        <v>*</v>
      </c>
    </row>
    <row r="50" spans="1:20" x14ac:dyDescent="0.2">
      <c r="A50" s="296" t="s">
        <v>1692</v>
      </c>
      <c r="B50" s="4">
        <v>10.782665373773391</v>
      </c>
      <c r="C50" s="4">
        <v>8.635179045806435</v>
      </c>
      <c r="D50" s="4">
        <v>-2.1474863279669689</v>
      </c>
      <c r="E50" s="3358" t="str">
        <f>IF(       0.163&lt;0.01,"***",IF(       0.163&lt;0.05,"**",IF(       0.163&lt;0.1,"*","NS")))</f>
        <v>NS</v>
      </c>
      <c r="G50" s="296" t="s">
        <v>1796</v>
      </c>
      <c r="H50" s="4">
        <v>10.782665373773391</v>
      </c>
      <c r="I50" s="4">
        <v>9.4004609211390093</v>
      </c>
      <c r="J50" s="4">
        <v>-1.3822044526343737</v>
      </c>
      <c r="K50" s="3359" t="str">
        <f>IF(       0.414&lt;0.01,"***",IF(       0.414&lt;0.05,"**",IF(       0.414&lt;0.1,"*","NS")))</f>
        <v>NS</v>
      </c>
      <c r="L50" s="4">
        <v>6.162621991979278</v>
      </c>
      <c r="M50" s="4">
        <v>-4.6200433817941002</v>
      </c>
      <c r="N50" s="3360" t="str">
        <f>IF(       0.019&lt;0.01,"***",IF(       0.019&lt;0.05,"**",IF(       0.019&lt;0.1,"*","NS")))</f>
        <v>**</v>
      </c>
      <c r="P50" s="296" t="s">
        <v>1915</v>
      </c>
      <c r="Q50" s="4">
        <v>10.27819514270783</v>
      </c>
      <c r="R50" s="4">
        <v>6.162621991979278</v>
      </c>
      <c r="S50" s="4">
        <v>-4.1155731507286122</v>
      </c>
      <c r="T50" s="3361" t="str">
        <f>IF(       0.023&lt;0.01,"***",IF(       0.023&lt;0.05,"**",IF(       0.023&lt;0.1,"*","NS")))</f>
        <v>**</v>
      </c>
    </row>
    <row r="51" spans="1:20" x14ac:dyDescent="0.2">
      <c r="A51" s="296" t="s">
        <v>1693</v>
      </c>
      <c r="B51" s="4">
        <v>38.278413866838797</v>
      </c>
      <c r="C51" s="4">
        <v>32.224964591184573</v>
      </c>
      <c r="D51" s="4">
        <v>-6.0534492756542573</v>
      </c>
      <c r="E51" s="3362" t="str">
        <f>IF(       0.042&lt;0.01,"***",IF(       0.042&lt;0.05,"**",IF(       0.042&lt;0.1,"*","NS")))</f>
        <v>**</v>
      </c>
      <c r="G51" s="296" t="s">
        <v>1797</v>
      </c>
      <c r="H51" s="4">
        <v>38.278413866838797</v>
      </c>
      <c r="I51" s="4">
        <v>27.341459560472039</v>
      </c>
      <c r="J51" s="4">
        <v>-10.93695430636674</v>
      </c>
      <c r="K51" s="3363" t="str">
        <f>IF(       0&lt;0.01,"***",IF(       0&lt;0.05,"**",IF(       0&lt;0.1,"*","NS")))</f>
        <v>***</v>
      </c>
      <c r="L51" s="4">
        <v>46.152075219926623</v>
      </c>
      <c r="M51" s="4">
        <v>7.8736613530878605</v>
      </c>
      <c r="N51" s="3364" t="str">
        <f>IF(       0.164&lt;0.01,"***",IF(       0.164&lt;0.05,"**",IF(       0.164&lt;0.1,"*","NS")))</f>
        <v>NS</v>
      </c>
      <c r="P51" s="296" t="s">
        <v>1916</v>
      </c>
      <c r="Q51" s="4">
        <v>35.909765702737253</v>
      </c>
      <c r="R51" s="4">
        <v>46.152075219926623</v>
      </c>
      <c r="S51" s="4">
        <v>10.24230951718936</v>
      </c>
      <c r="T51" s="3365" t="str">
        <f>IF(       0.065&lt;0.01,"***",IF(       0.065&lt;0.05,"**",IF(       0.065&lt;0.1,"*","NS")))</f>
        <v>*</v>
      </c>
    </row>
    <row r="52" spans="1:20" x14ac:dyDescent="0.2">
      <c r="A52" s="296" t="s">
        <v>1694</v>
      </c>
      <c r="B52" s="4">
        <v>41.107328053208683</v>
      </c>
      <c r="C52" s="4">
        <v>29.17556287167243</v>
      </c>
      <c r="D52" s="4">
        <v>-11.931765181536242</v>
      </c>
      <c r="E52" s="3366" t="str">
        <f>IF(       0&lt;0.01,"***",IF(       0&lt;0.05,"**",IF(       0&lt;0.1,"*","NS")))</f>
        <v>***</v>
      </c>
      <c r="G52" s="296" t="s">
        <v>1798</v>
      </c>
      <c r="H52" s="4">
        <v>41.107328053208683</v>
      </c>
      <c r="I52" s="4">
        <v>29.89777382759938</v>
      </c>
      <c r="J52" s="4">
        <v>-11.209554225609274</v>
      </c>
      <c r="K52" s="3367" t="str">
        <f>IF(       0.003&lt;0.01,"***",IF(       0.003&lt;0.05,"**",IF(       0.003&lt;0.1,"*","NS")))</f>
        <v>***</v>
      </c>
      <c r="L52" s="4">
        <v>26.842945878505699</v>
      </c>
      <c r="M52" s="4">
        <v>-14.264382174702792</v>
      </c>
      <c r="N52" s="3368" t="str">
        <f>IF(       0.004&lt;0.01,"***",IF(       0.004&lt;0.05,"**",IF(       0.004&lt;0.1,"*","NS")))</f>
        <v>***</v>
      </c>
      <c r="P52" s="296" t="s">
        <v>1917</v>
      </c>
      <c r="Q52" s="4">
        <v>38.889365048246297</v>
      </c>
      <c r="R52" s="4">
        <v>26.842945878505699</v>
      </c>
      <c r="S52" s="4">
        <v>-12.046419169740522</v>
      </c>
      <c r="T52" s="3369" t="str">
        <f>IF(       0.011&lt;0.01,"***",IF(       0.011&lt;0.05,"**",IF(       0.011&lt;0.1,"*","NS")))</f>
        <v>**</v>
      </c>
    </row>
    <row r="53" spans="1:20" x14ac:dyDescent="0.2">
      <c r="A53" s="296" t="s">
        <v>1695</v>
      </c>
      <c r="B53" s="4">
        <v>18.04715137262755</v>
      </c>
      <c r="C53" s="4">
        <v>23.39971131776143</v>
      </c>
      <c r="D53" s="4">
        <v>5.3525599451338532</v>
      </c>
      <c r="E53" s="3370" t="str">
        <f>IF(       0.123&lt;0.01,"***",IF(       0.123&lt;0.05,"**",IF(       0.123&lt;0.1,"*","NS")))</f>
        <v>NS</v>
      </c>
      <c r="G53" s="296" t="s">
        <v>1799</v>
      </c>
      <c r="H53" s="4">
        <v>18.04715137262755</v>
      </c>
      <c r="I53" s="4">
        <v>20.996275581223092</v>
      </c>
      <c r="J53" s="4">
        <v>2.9491242085955314</v>
      </c>
      <c r="K53" s="3371" t="str">
        <f>IF(       0.381&lt;0.01,"***",IF(       0.381&lt;0.05,"**",IF(       0.381&lt;0.1,"*","NS")))</f>
        <v>NS</v>
      </c>
      <c r="L53" s="4">
        <v>30.00797334644723</v>
      </c>
      <c r="M53" s="4">
        <v>11.960821973819725</v>
      </c>
      <c r="N53" s="3372" t="str">
        <f>IF(       0.035&lt;0.01,"***",IF(       0.035&lt;0.05,"**",IF(       0.035&lt;0.1,"*","NS")))</f>
        <v>**</v>
      </c>
      <c r="P53" s="296" t="s">
        <v>1918</v>
      </c>
      <c r="Q53" s="4">
        <v>18.621395953983981</v>
      </c>
      <c r="R53" s="4">
        <v>30.00797334644723</v>
      </c>
      <c r="S53" s="4">
        <v>11.386577392463344</v>
      </c>
      <c r="T53" s="3373" t="str">
        <f>IF(       0.037&lt;0.01,"***",IF(       0.037&lt;0.05,"**",IF(       0.037&lt;0.1,"*","NS")))</f>
        <v>**</v>
      </c>
    </row>
    <row r="54" spans="1:20" x14ac:dyDescent="0.2">
      <c r="A54" s="296" t="s">
        <v>1696</v>
      </c>
      <c r="B54" s="4">
        <v>16.116380273430352</v>
      </c>
      <c r="C54" s="4">
        <v>8.9789990711153944</v>
      </c>
      <c r="D54" s="4">
        <v>-7.1373812023148888</v>
      </c>
      <c r="E54" s="3374" t="str">
        <f>IF(       0&lt;0.01,"***",IF(       0&lt;0.05,"**",IF(       0&lt;0.1,"*","NS")))</f>
        <v>***</v>
      </c>
      <c r="G54" s="296" t="s">
        <v>1800</v>
      </c>
      <c r="H54" s="4">
        <v>16.116380273430352</v>
      </c>
      <c r="I54" s="4">
        <v>8.5132262593607919</v>
      </c>
      <c r="J54" s="4">
        <v>-7.603154014069518</v>
      </c>
      <c r="K54" s="3375" t="str">
        <f>IF(       0&lt;0.01,"***",IF(       0&lt;0.05,"**",IF(       0&lt;0.1,"*","NS")))</f>
        <v>***</v>
      </c>
      <c r="L54" s="4">
        <v>10.128223400970271</v>
      </c>
      <c r="M54" s="4">
        <v>-5.9881568724600669</v>
      </c>
      <c r="N54" s="3376" t="str">
        <f>IF(       0.035&lt;0.01,"***",IF(       0.035&lt;0.05,"**",IF(       0.035&lt;0.1,"*","NS")))</f>
        <v>**</v>
      </c>
      <c r="P54" s="296" t="s">
        <v>1919</v>
      </c>
      <c r="Q54" s="4">
        <v>13.65899912767952</v>
      </c>
      <c r="R54" s="4">
        <v>10.128223400970271</v>
      </c>
      <c r="S54" s="4">
        <v>-3.5307757267092619</v>
      </c>
      <c r="T54" s="3377" t="str">
        <f>IF(       0.178&lt;0.01,"***",IF(       0.178&lt;0.05,"**",IF(       0.178&lt;0.1,"*","NS")))</f>
        <v>NS</v>
      </c>
    </row>
    <row r="55" spans="1:20" x14ac:dyDescent="0.2">
      <c r="A55" s="296" t="s">
        <v>1697</v>
      </c>
      <c r="B55" s="4">
        <v>7.4641056009325393</v>
      </c>
      <c r="C55" s="4">
        <v>6.3301619447385091</v>
      </c>
      <c r="D55" s="4">
        <v>-1.1339436561940339</v>
      </c>
      <c r="E55" s="3378" t="str">
        <f>IF(       0.553&lt;0.01,"***",IF(       0.553&lt;0.05,"**",IF(       0.553&lt;0.1,"*","NS")))</f>
        <v>NS</v>
      </c>
      <c r="G55" s="296" t="s">
        <v>1801</v>
      </c>
      <c r="H55" s="4">
        <v>7.4641056009325393</v>
      </c>
      <c r="I55" s="4">
        <v>6.2053834888836814</v>
      </c>
      <c r="J55" s="4">
        <v>-1.2587221120488576</v>
      </c>
      <c r="K55" s="3379" t="str">
        <f>IF(       0.609&lt;0.01,"***",IF(       0.609&lt;0.05,"**",IF(       0.609&lt;0.1,"*","NS")))</f>
        <v>NS</v>
      </c>
      <c r="L55" s="4">
        <v>6.6693533742187983</v>
      </c>
      <c r="M55" s="4">
        <v>-0.79475222671374968</v>
      </c>
      <c r="N55" s="3380" t="str">
        <f>IF(       0.767&lt;0.01,"***",IF(       0.767&lt;0.05,"**",IF(       0.767&lt;0.1,"*","NS")))</f>
        <v>NS</v>
      </c>
      <c r="P55" s="296" t="s">
        <v>1920</v>
      </c>
      <c r="Q55" s="4">
        <v>7.1583656469778632</v>
      </c>
      <c r="R55" s="4">
        <v>6.6693533742187983</v>
      </c>
      <c r="S55" s="4">
        <v>-0.48901227275905818</v>
      </c>
      <c r="T55" s="3381" t="str">
        <f>IF(       0.86&lt;0.01,"***",IF(       0.86&lt;0.05,"**",IF(       0.86&lt;0.1,"*","NS")))</f>
        <v>NS</v>
      </c>
    </row>
    <row r="56" spans="1:20" x14ac:dyDescent="0.2">
      <c r="A56" s="296" t="s">
        <v>5835</v>
      </c>
      <c r="B56" s="4">
        <v>23.309180285128519</v>
      </c>
      <c r="C56" s="4">
        <v>18.179809183865899</v>
      </c>
      <c r="D56" s="4">
        <v>-5.1293711012627465</v>
      </c>
      <c r="E56" s="3382" t="str">
        <f>IF(       0&lt;0.01,"***",IF(       0&lt;0.05,"**",IF(       0&lt;0.1,"*","NS")))</f>
        <v>***</v>
      </c>
      <c r="G56" s="296" t="s">
        <v>5835</v>
      </c>
      <c r="H56" s="4">
        <v>23.309180285128519</v>
      </c>
      <c r="I56" s="4">
        <v>17.847672097472959</v>
      </c>
      <c r="J56" s="4">
        <v>-5.4615081876557339</v>
      </c>
      <c r="K56" s="3383" t="str">
        <f>IF(       0&lt;0.01,"***",IF(       0&lt;0.05,"**",IF(       0&lt;0.1,"*","NS")))</f>
        <v>***</v>
      </c>
      <c r="L56" s="4">
        <v>19.218474375465242</v>
      </c>
      <c r="M56" s="4">
        <v>-4.0907059096632823</v>
      </c>
      <c r="N56" s="3384" t="str">
        <f>IF(       0.003&lt;0.01,"***",IF(       0.003&lt;0.05,"**",IF(       0.003&lt;0.1,"*","NS")))</f>
        <v>***</v>
      </c>
      <c r="P56" s="296" t="s">
        <v>5835</v>
      </c>
      <c r="Q56" s="4">
        <v>21.95231780205582</v>
      </c>
      <c r="R56" s="4">
        <v>19.218474375465242</v>
      </c>
      <c r="S56" s="4">
        <v>-2.7338434265904588</v>
      </c>
      <c r="T56" s="3385" t="str">
        <f>IF(       0.039&lt;0.01,"***",IF(       0.039&lt;0.05,"**",IF(       0.039&lt;0.1,"*","NS")))</f>
        <v>**</v>
      </c>
    </row>
    <row r="58" spans="1:20" x14ac:dyDescent="0.2">
      <c r="A58" s="296" t="s">
        <v>1698</v>
      </c>
      <c r="G58" s="296" t="s">
        <v>1802</v>
      </c>
      <c r="P58" s="296" t="s">
        <v>1921</v>
      </c>
    </row>
    <row r="59" spans="1:20" s="3" customFormat="1" x14ac:dyDescent="0.2">
      <c r="A59" s="6054" t="s">
        <v>1699</v>
      </c>
      <c r="B59" s="6055" t="s">
        <v>1700</v>
      </c>
      <c r="C59" s="6056" t="s">
        <v>1701</v>
      </c>
      <c r="D59" s="6057" t="s">
        <v>1702</v>
      </c>
      <c r="E59" s="6058" t="s">
        <v>1703</v>
      </c>
      <c r="G59" s="6059" t="s">
        <v>1803</v>
      </c>
      <c r="H59" s="6060" t="s">
        <v>1804</v>
      </c>
      <c r="I59" s="6061" t="s">
        <v>1805</v>
      </c>
      <c r="J59" s="6062" t="s">
        <v>1806</v>
      </c>
      <c r="K59" s="6063" t="s">
        <v>1807</v>
      </c>
      <c r="L59" s="6064" t="s">
        <v>1852</v>
      </c>
      <c r="M59" s="6065" t="s">
        <v>1853</v>
      </c>
      <c r="N59" s="6066" t="s">
        <v>1854</v>
      </c>
      <c r="P59" s="6067" t="s">
        <v>1922</v>
      </c>
      <c r="Q59" s="6068" t="s">
        <v>1923</v>
      </c>
      <c r="R59" s="6069" t="s">
        <v>1924</v>
      </c>
      <c r="S59" s="6070" t="s">
        <v>1925</v>
      </c>
      <c r="T59" s="6071" t="s">
        <v>1926</v>
      </c>
    </row>
    <row r="60" spans="1:20" x14ac:dyDescent="0.2">
      <c r="A60" s="296" t="s">
        <v>1704</v>
      </c>
      <c r="B60" s="4">
        <v>6.4698029988495014</v>
      </c>
      <c r="C60" s="4">
        <v>9.0681004037169899</v>
      </c>
      <c r="D60" s="4">
        <v>2.5982974048674734</v>
      </c>
      <c r="E60" s="3386" t="str">
        <f>IF(       0.129&lt;0.01,"***",IF(       0.129&lt;0.05,"**",IF(       0.129&lt;0.1,"*","NS")))</f>
        <v>NS</v>
      </c>
      <c r="G60" s="296" t="s">
        <v>1808</v>
      </c>
      <c r="H60" s="4">
        <v>6.4698029988495014</v>
      </c>
      <c r="I60" s="4">
        <v>9.4717282899972783</v>
      </c>
      <c r="J60" s="4">
        <v>3.0019252911478151</v>
      </c>
      <c r="K60" s="3387" t="str">
        <f>IF(       0.127&lt;0.01,"***",IF(       0.127&lt;0.05,"**",IF(       0.127&lt;0.1,"*","NS")))</f>
        <v>NS</v>
      </c>
      <c r="L60" s="4">
        <v>7.4683882333798666</v>
      </c>
      <c r="M60" s="4">
        <v>0.9985852345303623</v>
      </c>
      <c r="N60" s="3388" t="str">
        <f>IF(       0.626&lt;0.01,"***",IF(       0.626&lt;0.05,"**",IF(       0.626&lt;0.1,"*","NS")))</f>
        <v>NS</v>
      </c>
      <c r="P60" s="296" t="s">
        <v>1927</v>
      </c>
      <c r="Q60" s="4">
        <v>7.5795380192240751</v>
      </c>
      <c r="R60" s="4">
        <v>7.4683882333798666</v>
      </c>
      <c r="S60" s="4">
        <v>-0.11114978584421915</v>
      </c>
      <c r="T60" s="3389" t="str">
        <f>IF(       0.955&lt;0.01,"***",IF(       0.955&lt;0.05,"**",IF(       0.955&lt;0.1,"*","NS")))</f>
        <v>NS</v>
      </c>
    </row>
    <row r="61" spans="1:20" x14ac:dyDescent="0.2">
      <c r="A61" s="296" t="s">
        <v>1705</v>
      </c>
      <c r="B61" s="4">
        <v>18.601671570404768</v>
      </c>
      <c r="C61" s="4">
        <v>14.0117834147864</v>
      </c>
      <c r="D61" s="4">
        <v>-4.5898881556183815</v>
      </c>
      <c r="E61" s="3390" t="str">
        <f>IF(       0.014&lt;0.01,"***",IF(       0.014&lt;0.05,"**",IF(       0.014&lt;0.1,"*","NS")))</f>
        <v>**</v>
      </c>
      <c r="G61" s="296" t="s">
        <v>1809</v>
      </c>
      <c r="H61" s="4">
        <v>18.601671570404768</v>
      </c>
      <c r="I61" s="4">
        <v>14.34547682301241</v>
      </c>
      <c r="J61" s="4">
        <v>-4.2561947473923771</v>
      </c>
      <c r="K61" s="3391" t="str">
        <f>IF(       0.034&lt;0.01,"***",IF(       0.034&lt;0.05,"**",IF(       0.034&lt;0.1,"*","NS")))</f>
        <v>**</v>
      </c>
      <c r="L61" s="4">
        <v>13.143123953758829</v>
      </c>
      <c r="M61" s="4">
        <v>-5.4585476166458848</v>
      </c>
      <c r="N61" s="3392" t="str">
        <f>IF(       0.078&lt;0.01,"***",IF(       0.078&lt;0.05,"**",IF(       0.078&lt;0.1,"*","NS")))</f>
        <v>*</v>
      </c>
      <c r="P61" s="296" t="s">
        <v>1928</v>
      </c>
      <c r="Q61" s="4">
        <v>17.289535351724481</v>
      </c>
      <c r="R61" s="4">
        <v>13.143123953758829</v>
      </c>
      <c r="S61" s="4">
        <v>-4.1464113979656503</v>
      </c>
      <c r="T61" s="3393" t="str">
        <f>IF(       0.168&lt;0.01,"***",IF(       0.168&lt;0.05,"**",IF(       0.168&lt;0.1,"*","NS")))</f>
        <v>NS</v>
      </c>
    </row>
    <row r="62" spans="1:20" x14ac:dyDescent="0.2">
      <c r="A62" s="296" t="s">
        <v>1706</v>
      </c>
      <c r="B62" s="4">
        <v>5.777557343090316</v>
      </c>
      <c r="C62" s="4">
        <v>5.7836882571575243</v>
      </c>
      <c r="D62" s="4">
        <v>6.1309140672123367E-3</v>
      </c>
      <c r="E62" s="3394" t="str">
        <f>IF(       0.997&lt;0.01,"***",IF(       0.997&lt;0.05,"**",IF(       0.997&lt;0.1,"*","NS")))</f>
        <v>NS</v>
      </c>
      <c r="G62" s="296" t="s">
        <v>1810</v>
      </c>
      <c r="H62" s="4">
        <v>5.777557343090316</v>
      </c>
      <c r="I62" s="4">
        <v>6.1744525344684398</v>
      </c>
      <c r="J62" s="4">
        <v>0.39689519137811186</v>
      </c>
      <c r="K62" s="3395" t="str">
        <f>IF(       0.814&lt;0.01,"***",IF(       0.814&lt;0.05,"**",IF(       0.814&lt;0.1,"*","NS")))</f>
        <v>NS</v>
      </c>
      <c r="L62" s="4">
        <v>4.6211071468857856</v>
      </c>
      <c r="M62" s="4">
        <v>-1.1564501962045242</v>
      </c>
      <c r="N62" s="3396" t="str">
        <f>IF(       0.517&lt;0.01,"***",IF(       0.517&lt;0.05,"**",IF(       0.517&lt;0.1,"*","NS")))</f>
        <v>NS</v>
      </c>
      <c r="P62" s="296" t="s">
        <v>1929</v>
      </c>
      <c r="Q62" s="4">
        <v>5.8787853767462961</v>
      </c>
      <c r="R62" s="4">
        <v>4.6211071468857856</v>
      </c>
      <c r="S62" s="4">
        <v>-1.2576782298604885</v>
      </c>
      <c r="T62" s="3397" t="str">
        <f>IF(       0.414&lt;0.01,"***",IF(       0.414&lt;0.05,"**",IF(       0.414&lt;0.1,"*","NS")))</f>
        <v>NS</v>
      </c>
    </row>
    <row r="63" spans="1:20" x14ac:dyDescent="0.2">
      <c r="A63" s="296" t="s">
        <v>1707</v>
      </c>
      <c r="B63" s="4">
        <v>15.945491181580509</v>
      </c>
      <c r="C63" s="4">
        <v>15.113466550030831</v>
      </c>
      <c r="D63" s="4">
        <v>-0.83202463154970263</v>
      </c>
      <c r="E63" s="3398" t="str">
        <f>IF(       0.552&lt;0.01,"***",IF(       0.552&lt;0.05,"**",IF(       0.552&lt;0.1,"*","NS")))</f>
        <v>NS</v>
      </c>
      <c r="G63" s="296" t="s">
        <v>1811</v>
      </c>
      <c r="H63" s="4">
        <v>15.945491181580509</v>
      </c>
      <c r="I63" s="4">
        <v>14.52331583368705</v>
      </c>
      <c r="J63" s="4">
        <v>-1.4221753478934929</v>
      </c>
      <c r="K63" s="3399" t="str">
        <f>IF(       0.332&lt;0.01,"***",IF(       0.332&lt;0.05,"**",IF(       0.332&lt;0.1,"*","NS")))</f>
        <v>NS</v>
      </c>
      <c r="L63" s="4">
        <v>17.2356435889537</v>
      </c>
      <c r="M63" s="4">
        <v>1.2901524073731905</v>
      </c>
      <c r="N63" s="3400" t="str">
        <f>IF(       0.656&lt;0.01,"***",IF(       0.656&lt;0.05,"**",IF(       0.656&lt;0.1,"*","NS")))</f>
        <v>NS</v>
      </c>
      <c r="P63" s="296" t="s">
        <v>1930</v>
      </c>
      <c r="Q63" s="4">
        <v>15.514385299848909</v>
      </c>
      <c r="R63" s="4">
        <v>17.2356435889537</v>
      </c>
      <c r="S63" s="4">
        <v>1.7212582891047763</v>
      </c>
      <c r="T63" s="3401" t="str">
        <f>IF(       0.545&lt;0.01,"***",IF(       0.545&lt;0.05,"**",IF(       0.545&lt;0.1,"*","NS")))</f>
        <v>NS</v>
      </c>
    </row>
    <row r="64" spans="1:20" x14ac:dyDescent="0.2">
      <c r="A64" s="296" t="s">
        <v>1708</v>
      </c>
      <c r="B64" s="4">
        <v>13.729665608913029</v>
      </c>
      <c r="C64" s="4">
        <v>16.919968353059399</v>
      </c>
      <c r="D64" s="4">
        <v>3.1903027441463458</v>
      </c>
      <c r="E64" s="3402" t="str">
        <f>IF(       0.282&lt;0.01,"***",IF(       0.282&lt;0.05,"**",IF(       0.282&lt;0.1,"*","NS")))</f>
        <v>NS</v>
      </c>
      <c r="G64" s="296" t="s">
        <v>1812</v>
      </c>
      <c r="H64" s="4">
        <v>13.729665608913029</v>
      </c>
      <c r="I64" s="4">
        <v>17.643536248932069</v>
      </c>
      <c r="J64" s="4">
        <v>3.9138706400190664</v>
      </c>
      <c r="K64" s="3403" t="str">
        <f>IF(       0.209&lt;0.01,"***",IF(       0.209&lt;0.05,"**",IF(       0.209&lt;0.1,"*","NS")))</f>
        <v>NS</v>
      </c>
      <c r="L64" s="4">
        <v>13.53340433231933</v>
      </c>
      <c r="M64" s="4">
        <v>-0.19626127659369202</v>
      </c>
      <c r="N64" s="3404" t="str">
        <f>IF(       0.961&lt;0.01,"***",IF(       0.961&lt;0.05,"**",IF(       0.961&lt;0.1,"*","NS")))</f>
        <v>NS</v>
      </c>
      <c r="P64" s="296" t="s">
        <v>1931</v>
      </c>
      <c r="Q64" s="4">
        <v>14.81842296623182</v>
      </c>
      <c r="R64" s="4">
        <v>13.53340433231933</v>
      </c>
      <c r="S64" s="4">
        <v>-1.2850186339124978</v>
      </c>
      <c r="T64" s="3405" t="str">
        <f>IF(       0.734&lt;0.01,"***",IF(       0.734&lt;0.05,"**",IF(       0.734&lt;0.1,"*","NS")))</f>
        <v>NS</v>
      </c>
    </row>
    <row r="65" spans="1:20" x14ac:dyDescent="0.2">
      <c r="A65" s="296" t="s">
        <v>1709</v>
      </c>
      <c r="B65" s="4">
        <v>31.227472387518031</v>
      </c>
      <c r="C65" s="4">
        <v>30.303491157921211</v>
      </c>
      <c r="D65" s="4">
        <v>-0.92398122959681539</v>
      </c>
      <c r="E65" s="3406" t="str">
        <f>IF(       0.787&lt;0.01,"***",IF(       0.787&lt;0.05,"**",IF(       0.787&lt;0.1,"*","NS")))</f>
        <v>NS</v>
      </c>
      <c r="G65" s="296" t="s">
        <v>1813</v>
      </c>
      <c r="H65" s="4">
        <v>31.227472387518031</v>
      </c>
      <c r="I65" s="4">
        <v>30.179041257138589</v>
      </c>
      <c r="J65" s="4">
        <v>-1.0484311303794949</v>
      </c>
      <c r="K65" s="3407" t="str">
        <f>IF(       0.755&lt;0.01,"***",IF(       0.755&lt;0.05,"**",IF(       0.755&lt;0.1,"*","NS")))</f>
        <v>NS</v>
      </c>
      <c r="L65" s="4">
        <v>30.686368962014821</v>
      </c>
      <c r="M65" s="4">
        <v>-0.54110342550322443</v>
      </c>
      <c r="N65" s="3408" t="str">
        <f>IF(       0.926&lt;0.01,"***",IF(       0.926&lt;0.05,"**",IF(       0.926&lt;0.1,"*","NS")))</f>
        <v>NS</v>
      </c>
      <c r="P65" s="296" t="s">
        <v>1932</v>
      </c>
      <c r="Q65" s="4">
        <v>30.92088431848665</v>
      </c>
      <c r="R65" s="4">
        <v>30.686368962014821</v>
      </c>
      <c r="S65" s="4">
        <v>-0.23451535647182331</v>
      </c>
      <c r="T65" s="3409" t="str">
        <f>IF(       0.966&lt;0.01,"***",IF(       0.966&lt;0.05,"**",IF(       0.966&lt;0.1,"*","NS")))</f>
        <v>NS</v>
      </c>
    </row>
    <row r="66" spans="1:20" x14ac:dyDescent="0.2">
      <c r="A66" s="296" t="s">
        <v>12</v>
      </c>
      <c r="B66" s="4" t="s">
        <v>6067</v>
      </c>
      <c r="C66" s="4" t="s">
        <v>6067</v>
      </c>
      <c r="D66" s="4" t="s">
        <v>6067</v>
      </c>
      <c r="E66" s="4" t="s">
        <v>6067</v>
      </c>
      <c r="G66" s="296" t="s">
        <v>12</v>
      </c>
      <c r="H66" s="4" t="s">
        <v>6067</v>
      </c>
      <c r="I66" s="4" t="s">
        <v>6067</v>
      </c>
      <c r="J66" s="4" t="s">
        <v>6067</v>
      </c>
      <c r="K66" s="4" t="s">
        <v>6067</v>
      </c>
      <c r="L66" s="4" t="s">
        <v>6067</v>
      </c>
      <c r="M66" s="4" t="s">
        <v>6067</v>
      </c>
      <c r="N66" s="4" t="s">
        <v>6067</v>
      </c>
      <c r="P66" s="296" t="s">
        <v>12</v>
      </c>
      <c r="Q66" s="4" t="s">
        <v>6067</v>
      </c>
      <c r="R66" s="4" t="s">
        <v>6067</v>
      </c>
      <c r="S66" s="4" t="s">
        <v>6067</v>
      </c>
      <c r="T66" s="4" t="s">
        <v>6067</v>
      </c>
    </row>
    <row r="67" spans="1:20" x14ac:dyDescent="0.2">
      <c r="A67" s="296" t="s">
        <v>1710</v>
      </c>
      <c r="B67" s="4">
        <v>1.9460740381916699</v>
      </c>
      <c r="C67" s="4">
        <v>3.725843808800116</v>
      </c>
      <c r="D67" s="4">
        <v>1.7797697706084445</v>
      </c>
      <c r="E67" s="3410" t="str">
        <f>IF(       0.138&lt;0.01,"***",IF(       0.138&lt;0.05,"**",IF(       0.138&lt;0.1,"*","NS")))</f>
        <v>NS</v>
      </c>
      <c r="G67" s="296" t="s">
        <v>1814</v>
      </c>
      <c r="H67" s="4">
        <v>1.9460740381916699</v>
      </c>
      <c r="I67" s="4">
        <v>3.3587407108098239</v>
      </c>
      <c r="J67" s="4">
        <v>1.4126666726181678</v>
      </c>
      <c r="K67" s="3411" t="str">
        <f>IF(       0.203&lt;0.01,"***",IF(       0.203&lt;0.05,"**",IF(       0.203&lt;0.1,"*","NS")))</f>
        <v>NS</v>
      </c>
      <c r="L67" s="4">
        <v>4.8499876719268329</v>
      </c>
      <c r="M67" s="4">
        <v>2.9039136337351232</v>
      </c>
      <c r="N67" s="3412" t="str">
        <f>IF(       0.245&lt;0.01,"***",IF(       0.245&lt;0.05,"**",IF(       0.245&lt;0.1,"*","NS")))</f>
        <v>NS</v>
      </c>
      <c r="P67" s="296" t="s">
        <v>1933</v>
      </c>
      <c r="Q67" s="4">
        <v>2.2022683323230399</v>
      </c>
      <c r="R67" s="4">
        <v>4.8499876719268329</v>
      </c>
      <c r="S67" s="4">
        <v>2.6477193396037402</v>
      </c>
      <c r="T67" s="3413" t="str">
        <f>IF(       0.275&lt;0.01,"***",IF(       0.275&lt;0.05,"**",IF(       0.275&lt;0.1,"*","NS")))</f>
        <v>NS</v>
      </c>
    </row>
    <row r="68" spans="1:20" x14ac:dyDescent="0.2">
      <c r="A68" s="296" t="s">
        <v>1711</v>
      </c>
      <c r="B68" s="4">
        <v>18.2407688645043</v>
      </c>
      <c r="C68" s="4">
        <v>13.632527395642329</v>
      </c>
      <c r="D68" s="4">
        <v>-4.6082414688619968</v>
      </c>
      <c r="E68" s="3414" t="str">
        <f>IF(       0.003&lt;0.01,"***",IF(       0.003&lt;0.05,"**",IF(       0.003&lt;0.1,"*","NS")))</f>
        <v>***</v>
      </c>
      <c r="G68" s="296" t="s">
        <v>1815</v>
      </c>
      <c r="H68" s="4">
        <v>18.2407688645043</v>
      </c>
      <c r="I68" s="4">
        <v>14.16674559458359</v>
      </c>
      <c r="J68" s="4">
        <v>-4.0740232699207715</v>
      </c>
      <c r="K68" s="3415" t="str">
        <f>IF(       0.04&lt;0.01,"***",IF(       0.04&lt;0.05,"**",IF(       0.04&lt;0.1,"*","NS")))</f>
        <v>**</v>
      </c>
      <c r="L68" s="4">
        <v>12.800402081074051</v>
      </c>
      <c r="M68" s="4">
        <v>-5.4403667834303393</v>
      </c>
      <c r="N68" s="3416" t="str">
        <f>IF(       0.011&lt;0.01,"***",IF(       0.011&lt;0.05,"**",IF(       0.011&lt;0.1,"*","NS")))</f>
        <v>**</v>
      </c>
      <c r="P68" s="296" t="s">
        <v>1934</v>
      </c>
      <c r="Q68" s="4">
        <v>16.788732220820339</v>
      </c>
      <c r="R68" s="4">
        <v>12.800402081074051</v>
      </c>
      <c r="S68" s="4">
        <v>-3.9883301397463349</v>
      </c>
      <c r="T68" s="3417" t="str">
        <f>IF(       0.064&lt;0.01,"***",IF(       0.064&lt;0.05,"**",IF(       0.064&lt;0.1,"*","NS")))</f>
        <v>*</v>
      </c>
    </row>
    <row r="69" spans="1:20" x14ac:dyDescent="0.2">
      <c r="A69" s="296" t="s">
        <v>1712</v>
      </c>
      <c r="B69" s="4">
        <v>10.18954024575574</v>
      </c>
      <c r="C69" s="4">
        <v>8.0698171574372797</v>
      </c>
      <c r="D69" s="4">
        <v>-2.1197230883184455</v>
      </c>
      <c r="E69" s="3418" t="str">
        <f>IF(       0.094&lt;0.01,"***",IF(       0.094&lt;0.05,"**",IF(       0.094&lt;0.1,"*","NS")))</f>
        <v>*</v>
      </c>
      <c r="G69" s="296" t="s">
        <v>1816</v>
      </c>
      <c r="H69" s="4">
        <v>10.18954024575574</v>
      </c>
      <c r="I69" s="4">
        <v>8.5812865304543706</v>
      </c>
      <c r="J69" s="4">
        <v>-1.6082537153013832</v>
      </c>
      <c r="K69" s="3419" t="str">
        <f>IF(       0.237&lt;0.01,"***",IF(       0.237&lt;0.05,"**",IF(       0.237&lt;0.1,"*","NS")))</f>
        <v>NS</v>
      </c>
      <c r="L69" s="4">
        <v>6.3937881532083862</v>
      </c>
      <c r="M69" s="4">
        <v>-3.7957520925473509</v>
      </c>
      <c r="N69" s="3420" t="str">
        <f>IF(       0.034&lt;0.01,"***",IF(       0.034&lt;0.05,"**",IF(       0.034&lt;0.1,"*","NS")))</f>
        <v>**</v>
      </c>
      <c r="P69" s="296" t="s">
        <v>1935</v>
      </c>
      <c r="Q69" s="4">
        <v>9.5680081170614795</v>
      </c>
      <c r="R69" s="4">
        <v>6.3937881532083862</v>
      </c>
      <c r="S69" s="4">
        <v>-3.1742199638530737</v>
      </c>
      <c r="T69" s="3421" t="str">
        <f>IF(       0.056&lt;0.01,"***",IF(       0.056&lt;0.05,"**",IF(       0.056&lt;0.1,"*","NS")))</f>
        <v>*</v>
      </c>
    </row>
    <row r="70" spans="1:20" x14ac:dyDescent="0.2">
      <c r="A70" s="296" t="s">
        <v>1713</v>
      </c>
      <c r="B70" s="4">
        <v>36.394653584754728</v>
      </c>
      <c r="C70" s="4">
        <v>34.9641079219396</v>
      </c>
      <c r="D70" s="4">
        <v>-1.4305456628151496</v>
      </c>
      <c r="E70" s="3422" t="str">
        <f>IF(       0.49&lt;0.01,"***",IF(       0.49&lt;0.05,"**",IF(       0.49&lt;0.1,"*","NS")))</f>
        <v>NS</v>
      </c>
      <c r="G70" s="296" t="s">
        <v>1817</v>
      </c>
      <c r="H70" s="4">
        <v>36.394653584754728</v>
      </c>
      <c r="I70" s="4">
        <v>31.545761222589402</v>
      </c>
      <c r="J70" s="4">
        <v>-4.8488923621654036</v>
      </c>
      <c r="K70" s="3423" t="str">
        <f>IF(       0.009&lt;0.01,"***",IF(       0.009&lt;0.05,"**",IF(       0.009&lt;0.1,"*","NS")))</f>
        <v>***</v>
      </c>
      <c r="L70" s="4">
        <v>44.24037511596886</v>
      </c>
      <c r="M70" s="4">
        <v>7.8457215312140942</v>
      </c>
      <c r="N70" s="3424" t="str">
        <f>IF(       0.112&lt;0.01,"***",IF(       0.112&lt;0.05,"**",IF(       0.112&lt;0.1,"*","NS")))</f>
        <v>NS</v>
      </c>
      <c r="P70" s="296" t="s">
        <v>1936</v>
      </c>
      <c r="Q70" s="4">
        <v>35.125881702839052</v>
      </c>
      <c r="R70" s="4">
        <v>44.24037511596886</v>
      </c>
      <c r="S70" s="4">
        <v>9.1144934131299227</v>
      </c>
      <c r="T70" s="3425" t="str">
        <f>IF(       0.061&lt;0.01,"***",IF(       0.061&lt;0.05,"**",IF(       0.061&lt;0.1,"*","NS")))</f>
        <v>*</v>
      </c>
    </row>
    <row r="71" spans="1:20" x14ac:dyDescent="0.2">
      <c r="A71" s="296" t="s">
        <v>1714</v>
      </c>
      <c r="B71" s="4">
        <v>37.886281907679788</v>
      </c>
      <c r="C71" s="4">
        <v>25.902387456155481</v>
      </c>
      <c r="D71" s="4">
        <v>-11.983894451524566</v>
      </c>
      <c r="E71" s="3426" t="str">
        <f>IF(       0&lt;0.01,"***",IF(       0&lt;0.05,"**",IF(       0&lt;0.1,"*","NS")))</f>
        <v>***</v>
      </c>
      <c r="G71" s="296" t="s">
        <v>1818</v>
      </c>
      <c r="H71" s="4">
        <v>37.886281907679788</v>
      </c>
      <c r="I71" s="4">
        <v>25.520760061613561</v>
      </c>
      <c r="J71" s="4">
        <v>-12.365521846065963</v>
      </c>
      <c r="K71" s="3427" t="str">
        <f>IF(       0&lt;0.01,"***",IF(       0&lt;0.05,"**",IF(       0&lt;0.1,"*","NS")))</f>
        <v>***</v>
      </c>
      <c r="L71" s="4">
        <v>26.847208373968321</v>
      </c>
      <c r="M71" s="4">
        <v>-11.039073533711457</v>
      </c>
      <c r="N71" s="3428" t="str">
        <f>IF(       0.006&lt;0.01,"***",IF(       0.006&lt;0.05,"**",IF(       0.006&lt;0.1,"*","NS")))</f>
        <v>***</v>
      </c>
      <c r="P71" s="296" t="s">
        <v>1937</v>
      </c>
      <c r="Q71" s="4">
        <v>34.839196909446201</v>
      </c>
      <c r="R71" s="4">
        <v>26.847208373968321</v>
      </c>
      <c r="S71" s="4">
        <v>-7.9919885354778986</v>
      </c>
      <c r="T71" s="3429" t="str">
        <f>IF(       0.025&lt;0.01,"***",IF(       0.025&lt;0.05,"**",IF(       0.025&lt;0.1,"*","NS")))</f>
        <v>**</v>
      </c>
    </row>
    <row r="72" spans="1:20" x14ac:dyDescent="0.2">
      <c r="A72" s="296" t="s">
        <v>1715</v>
      </c>
      <c r="B72" s="4">
        <v>15.182723610095669</v>
      </c>
      <c r="C72" s="4">
        <v>20.19294321453604</v>
      </c>
      <c r="D72" s="4">
        <v>5.0102196044403007</v>
      </c>
      <c r="E72" s="3430" t="str">
        <f>IF(       0.074&lt;0.01,"***",IF(       0.074&lt;0.05,"**",IF(       0.074&lt;0.1,"*","NS")))</f>
        <v>*</v>
      </c>
      <c r="G72" s="296" t="s">
        <v>1819</v>
      </c>
      <c r="H72" s="4">
        <v>15.182723610095669</v>
      </c>
      <c r="I72" s="4">
        <v>17.450023354734331</v>
      </c>
      <c r="J72" s="4">
        <v>2.2672997446386485</v>
      </c>
      <c r="K72" s="3431" t="str">
        <f>IF(       0.348&lt;0.01,"***",IF(       0.348&lt;0.05,"**",IF(       0.348&lt;0.1,"*","NS")))</f>
        <v>NS</v>
      </c>
      <c r="L72" s="4">
        <v>28.46675470074986</v>
      </c>
      <c r="M72" s="4">
        <v>13.284031090654127</v>
      </c>
      <c r="N72" s="3432" t="str">
        <f>IF(       0.012&lt;0.01,"***",IF(       0.012&lt;0.05,"**",IF(       0.012&lt;0.1,"*","NS")))</f>
        <v>**</v>
      </c>
      <c r="P72" s="296" t="s">
        <v>1938</v>
      </c>
      <c r="Q72" s="4">
        <v>15.72142445222312</v>
      </c>
      <c r="R72" s="4">
        <v>28.46675470074986</v>
      </c>
      <c r="S72" s="4">
        <v>12.745330248526699</v>
      </c>
      <c r="T72" s="3433" t="str">
        <f>IF(       0.012&lt;0.01,"***",IF(       0.012&lt;0.05,"**",IF(       0.012&lt;0.1,"*","NS")))</f>
        <v>**</v>
      </c>
    </row>
    <row r="73" spans="1:20" x14ac:dyDescent="0.2">
      <c r="A73" s="296" t="s">
        <v>1716</v>
      </c>
      <c r="B73" s="4">
        <v>14.490078352967821</v>
      </c>
      <c r="C73" s="4">
        <v>9.4094171393591335</v>
      </c>
      <c r="D73" s="4">
        <v>-5.0806612136087548</v>
      </c>
      <c r="E73" s="3434" t="str">
        <f>IF(       0.003&lt;0.01,"***",IF(       0.003&lt;0.05,"**",IF(       0.003&lt;0.1,"*","NS")))</f>
        <v>***</v>
      </c>
      <c r="G73" s="296" t="s">
        <v>1820</v>
      </c>
      <c r="H73" s="4">
        <v>14.490078352967821</v>
      </c>
      <c r="I73" s="4">
        <v>9.5482251443871249</v>
      </c>
      <c r="J73" s="4">
        <v>-4.9418532085807216</v>
      </c>
      <c r="K73" s="3435" t="str">
        <f>IF(       0.008&lt;0.01,"***",IF(       0.008&lt;0.05,"**",IF(       0.008&lt;0.1,"*","NS")))</f>
        <v>***</v>
      </c>
      <c r="L73" s="4">
        <v>9.0973362424717319</v>
      </c>
      <c r="M73" s="4">
        <v>-5.3927421104960995</v>
      </c>
      <c r="N73" s="3436" t="str">
        <f>IF(       0.012&lt;0.01,"***",IF(       0.012&lt;0.05,"**",IF(       0.012&lt;0.1,"*","NS")))</f>
        <v>**</v>
      </c>
      <c r="P73" s="296" t="s">
        <v>1939</v>
      </c>
      <c r="Q73" s="4">
        <v>12.81053062717846</v>
      </c>
      <c r="R73" s="4">
        <v>9.0973362424717319</v>
      </c>
      <c r="S73" s="4">
        <v>-3.7131943847066897</v>
      </c>
      <c r="T73" s="3437" t="str">
        <f>IF(       0.051&lt;0.01,"***",IF(       0.051&lt;0.05,"**",IF(       0.051&lt;0.1,"*","NS")))</f>
        <v>*</v>
      </c>
    </row>
    <row r="74" spans="1:20" x14ac:dyDescent="0.2">
      <c r="A74" s="296" t="s">
        <v>1717</v>
      </c>
      <c r="B74" s="4">
        <v>5.0686558076035189</v>
      </c>
      <c r="C74" s="4">
        <v>3.6244904284329249</v>
      </c>
      <c r="D74" s="4">
        <v>-1.444165379170582</v>
      </c>
      <c r="E74" s="3438" t="str">
        <f>IF(       0.262&lt;0.01,"***",IF(       0.262&lt;0.05,"**",IF(       0.262&lt;0.1,"*","NS")))</f>
        <v>NS</v>
      </c>
      <c r="G74" s="296" t="s">
        <v>1821</v>
      </c>
      <c r="H74" s="4">
        <v>5.0686558076035189</v>
      </c>
      <c r="I74" s="4">
        <v>3.071279300882706</v>
      </c>
      <c r="J74" s="4">
        <v>-1.9973765067208071</v>
      </c>
      <c r="K74" s="3439" t="str">
        <f>IF(       0.151&lt;0.01,"***",IF(       0.151&lt;0.05,"**",IF(       0.151&lt;0.1,"*","NS")))</f>
        <v>NS</v>
      </c>
      <c r="L74" s="4">
        <v>5.4544608512633967</v>
      </c>
      <c r="M74" s="4">
        <v>0.38580504365985957</v>
      </c>
      <c r="N74" s="3440" t="str">
        <f>IF(       0.799&lt;0.01,"***",IF(       0.799&lt;0.05,"**",IF(       0.799&lt;0.1,"*","NS")))</f>
        <v>NS</v>
      </c>
      <c r="P74" s="296" t="s">
        <v>1940</v>
      </c>
      <c r="Q74" s="4">
        <v>4.5251420966895468</v>
      </c>
      <c r="R74" s="4">
        <v>5.4544608512633967</v>
      </c>
      <c r="S74" s="4">
        <v>0.92931875457383528</v>
      </c>
      <c r="T74" s="3441" t="str">
        <f>IF(       0.493&lt;0.01,"***",IF(       0.493&lt;0.05,"**",IF(       0.493&lt;0.1,"*","NS")))</f>
        <v>NS</v>
      </c>
    </row>
    <row r="75" spans="1:20" x14ac:dyDescent="0.2">
      <c r="A75" s="296" t="s">
        <v>5835</v>
      </c>
      <c r="B75" s="4">
        <v>19.67155944062802</v>
      </c>
      <c r="C75" s="4">
        <v>16.88598817190746</v>
      </c>
      <c r="D75" s="4">
        <v>-2.7855712687207137</v>
      </c>
      <c r="E75" s="3442" t="str">
        <f>IF(       0&lt;0.01,"***",IF(       0&lt;0.05,"**",IF(       0&lt;0.1,"*","NS")))</f>
        <v>***</v>
      </c>
      <c r="G75" s="296" t="s">
        <v>5835</v>
      </c>
      <c r="H75" s="4">
        <v>19.67155944062802</v>
      </c>
      <c r="I75" s="4">
        <v>16.39775633599541</v>
      </c>
      <c r="J75" s="4">
        <v>-3.2738031046324005</v>
      </c>
      <c r="K75" s="3443" t="str">
        <f>IF(       0&lt;0.01,"***",IF(       0&lt;0.05,"**",IF(       0&lt;0.1,"*","NS")))</f>
        <v>***</v>
      </c>
      <c r="L75" s="4">
        <v>18.280104141321431</v>
      </c>
      <c r="M75" s="4">
        <v>-1.3914552993066476</v>
      </c>
      <c r="N75" s="3444" t="str">
        <f>IF(       0.23&lt;0.01,"***",IF(       0.23&lt;0.05,"**",IF(       0.23&lt;0.1,"*","NS")))</f>
        <v>NS</v>
      </c>
      <c r="P75" s="296" t="s">
        <v>5835</v>
      </c>
      <c r="Q75" s="4">
        <v>18.717806086955122</v>
      </c>
      <c r="R75" s="4">
        <v>18.280104141321431</v>
      </c>
      <c r="S75" s="4">
        <v>-0.43770194563368142</v>
      </c>
      <c r="T75" s="3445" t="str">
        <f>IF(       0.683&lt;0.01,"***",IF(       0.683&lt;0.05,"**",IF(       0.683&lt;0.1,"*","NS")))</f>
        <v>NS</v>
      </c>
    </row>
    <row r="77" spans="1:20" x14ac:dyDescent="0.2">
      <c r="A77" s="296" t="s">
        <v>1718</v>
      </c>
      <c r="G77" s="296" t="s">
        <v>1822</v>
      </c>
      <c r="P77" s="296" t="s">
        <v>1941</v>
      </c>
    </row>
    <row r="78" spans="1:20" s="3" customFormat="1" x14ac:dyDescent="0.2">
      <c r="A78" s="6072" t="s">
        <v>1719</v>
      </c>
      <c r="B78" s="6073" t="s">
        <v>1720</v>
      </c>
      <c r="C78" s="6074" t="s">
        <v>1721</v>
      </c>
      <c r="D78" s="6075" t="s">
        <v>1722</v>
      </c>
      <c r="E78" s="6076" t="s">
        <v>1723</v>
      </c>
      <c r="G78" s="6077" t="s">
        <v>1823</v>
      </c>
      <c r="H78" s="6078" t="s">
        <v>1824</v>
      </c>
      <c r="I78" s="6079" t="s">
        <v>1825</v>
      </c>
      <c r="J78" s="6080" t="s">
        <v>1826</v>
      </c>
      <c r="K78" s="6081" t="s">
        <v>1827</v>
      </c>
      <c r="L78" s="6082" t="s">
        <v>1855</v>
      </c>
      <c r="M78" s="6083" t="s">
        <v>1856</v>
      </c>
      <c r="N78" s="6084" t="s">
        <v>1857</v>
      </c>
      <c r="P78" s="6085" t="s">
        <v>1942</v>
      </c>
      <c r="Q78" s="6086" t="s">
        <v>1943</v>
      </c>
      <c r="R78" s="6087" t="s">
        <v>1944</v>
      </c>
      <c r="S78" s="6088" t="s">
        <v>1945</v>
      </c>
      <c r="T78" s="6089" t="s">
        <v>1946</v>
      </c>
    </row>
    <row r="79" spans="1:20" x14ac:dyDescent="0.2">
      <c r="A79" s="296" t="s">
        <v>1724</v>
      </c>
      <c r="B79" s="4" t="s">
        <v>6067</v>
      </c>
      <c r="C79" s="4" t="s">
        <v>6067</v>
      </c>
      <c r="D79" s="4" t="s">
        <v>6067</v>
      </c>
      <c r="E79" s="4" t="s">
        <v>6067</v>
      </c>
      <c r="G79" s="296" t="s">
        <v>1828</v>
      </c>
      <c r="H79" s="4" t="s">
        <v>6067</v>
      </c>
      <c r="I79" s="4" t="s">
        <v>6067</v>
      </c>
      <c r="J79" s="4" t="s">
        <v>6067</v>
      </c>
      <c r="K79" s="4" t="s">
        <v>6067</v>
      </c>
      <c r="L79" s="4" t="s">
        <v>6067</v>
      </c>
      <c r="M79" s="4" t="s">
        <v>6067</v>
      </c>
      <c r="N79" s="4" t="s">
        <v>6067</v>
      </c>
      <c r="P79" s="296" t="s">
        <v>1947</v>
      </c>
      <c r="Q79" s="4" t="s">
        <v>6067</v>
      </c>
      <c r="R79" s="4" t="s">
        <v>6067</v>
      </c>
      <c r="S79" s="4" t="s">
        <v>6067</v>
      </c>
      <c r="T79" s="4" t="s">
        <v>6067</v>
      </c>
    </row>
    <row r="80" spans="1:20" x14ac:dyDescent="0.2">
      <c r="A80" s="296" t="s">
        <v>1725</v>
      </c>
      <c r="B80" s="4">
        <v>15.927472673195579</v>
      </c>
      <c r="C80" s="4">
        <v>15.670248091420749</v>
      </c>
      <c r="D80" s="4">
        <v>-0.25722458177482871</v>
      </c>
      <c r="E80" s="3446" t="str">
        <f>IF(       0.931&lt;0.01,"***",IF(       0.931&lt;0.05,"**",IF(       0.931&lt;0.1,"*","NS")))</f>
        <v>NS</v>
      </c>
      <c r="G80" s="296" t="s">
        <v>1829</v>
      </c>
      <c r="H80" s="4">
        <v>15.927472673195579</v>
      </c>
      <c r="I80" s="4">
        <v>16.012996995748999</v>
      </c>
      <c r="J80" s="4">
        <v>8.5524322553422447E-2</v>
      </c>
      <c r="K80" s="3447" t="str">
        <f>IF(       0.98&lt;0.01,"***",IF(       0.98&lt;0.05,"**",IF(       0.98&lt;0.1,"*","NS")))</f>
        <v>NS</v>
      </c>
      <c r="L80" s="4">
        <v>14.749356430872281</v>
      </c>
      <c r="M80" s="4">
        <v>-1.1781162423233038</v>
      </c>
      <c r="N80" s="3448" t="str">
        <f>IF(       0.876&lt;0.01,"***",IF(       0.876&lt;0.05,"**",IF(       0.876&lt;0.1,"*","NS")))</f>
        <v>NS</v>
      </c>
      <c r="P80" s="296" t="s">
        <v>1948</v>
      </c>
      <c r="Q80" s="4">
        <v>15.947487357914881</v>
      </c>
      <c r="R80" s="4">
        <v>14.749356430872281</v>
      </c>
      <c r="S80" s="4">
        <v>-1.198130927042619</v>
      </c>
      <c r="T80" s="3449" t="str">
        <f>IF(       0.877&lt;0.01,"***",IF(       0.877&lt;0.05,"**",IF(       0.877&lt;0.1,"*","NS")))</f>
        <v>NS</v>
      </c>
    </row>
    <row r="81" spans="1:20" x14ac:dyDescent="0.2">
      <c r="A81" s="296" t="s">
        <v>1726</v>
      </c>
      <c r="B81" s="4" t="s">
        <v>6067</v>
      </c>
      <c r="C81" s="4" t="s">
        <v>6067</v>
      </c>
      <c r="D81" s="4" t="s">
        <v>6067</v>
      </c>
      <c r="E81" s="4" t="s">
        <v>6067</v>
      </c>
      <c r="G81" s="296" t="s">
        <v>1830</v>
      </c>
      <c r="H81" s="4" t="s">
        <v>6067</v>
      </c>
      <c r="I81" s="4" t="s">
        <v>6067</v>
      </c>
      <c r="J81" s="4" t="s">
        <v>6067</v>
      </c>
      <c r="K81" s="4" t="s">
        <v>6067</v>
      </c>
      <c r="L81" s="4" t="s">
        <v>6067</v>
      </c>
      <c r="M81" s="4" t="s">
        <v>6067</v>
      </c>
      <c r="N81" s="4" t="s">
        <v>6067</v>
      </c>
      <c r="P81" s="296" t="s">
        <v>1949</v>
      </c>
      <c r="Q81" s="4" t="s">
        <v>6067</v>
      </c>
      <c r="R81" s="4" t="s">
        <v>6067</v>
      </c>
      <c r="S81" s="4" t="s">
        <v>6067</v>
      </c>
      <c r="T81" s="4" t="s">
        <v>6067</v>
      </c>
    </row>
    <row r="82" spans="1:20" x14ac:dyDescent="0.2">
      <c r="A82" s="296" t="s">
        <v>1727</v>
      </c>
      <c r="B82" s="4" t="s">
        <v>6067</v>
      </c>
      <c r="C82" s="4" t="s">
        <v>6067</v>
      </c>
      <c r="D82" s="4" t="s">
        <v>6067</v>
      </c>
      <c r="E82" s="4" t="s">
        <v>6067</v>
      </c>
      <c r="G82" s="296" t="s">
        <v>1831</v>
      </c>
      <c r="H82" s="4" t="s">
        <v>6067</v>
      </c>
      <c r="I82" s="4" t="s">
        <v>6067</v>
      </c>
      <c r="J82" s="4" t="s">
        <v>6067</v>
      </c>
      <c r="K82" s="4" t="s">
        <v>6067</v>
      </c>
      <c r="L82" s="4" t="s">
        <v>6067</v>
      </c>
      <c r="M82" s="4" t="s">
        <v>6067</v>
      </c>
      <c r="N82" s="4" t="s">
        <v>6067</v>
      </c>
      <c r="P82" s="296" t="s">
        <v>1950</v>
      </c>
      <c r="Q82" s="4" t="s">
        <v>6067</v>
      </c>
      <c r="R82" s="4" t="s">
        <v>6067</v>
      </c>
      <c r="S82" s="4" t="s">
        <v>6067</v>
      </c>
      <c r="T82" s="4" t="s">
        <v>6067</v>
      </c>
    </row>
    <row r="83" spans="1:20" x14ac:dyDescent="0.2">
      <c r="A83" s="296" t="s">
        <v>1728</v>
      </c>
      <c r="B83" s="4" t="s">
        <v>6067</v>
      </c>
      <c r="C83" s="4" t="s">
        <v>6067</v>
      </c>
      <c r="D83" s="4" t="s">
        <v>6067</v>
      </c>
      <c r="E83" s="4" t="s">
        <v>6067</v>
      </c>
      <c r="G83" s="296" t="s">
        <v>1832</v>
      </c>
      <c r="H83" s="4" t="s">
        <v>6067</v>
      </c>
      <c r="I83" s="4" t="s">
        <v>6067</v>
      </c>
      <c r="J83" s="4" t="s">
        <v>6067</v>
      </c>
      <c r="K83" s="4" t="s">
        <v>6067</v>
      </c>
      <c r="L83" s="4" t="s">
        <v>6067</v>
      </c>
      <c r="M83" s="4" t="s">
        <v>6067</v>
      </c>
      <c r="N83" s="4" t="s">
        <v>6067</v>
      </c>
      <c r="P83" s="296" t="s">
        <v>1951</v>
      </c>
      <c r="Q83" s="4" t="s">
        <v>6067</v>
      </c>
      <c r="R83" s="4" t="s">
        <v>6067</v>
      </c>
      <c r="S83" s="4" t="s">
        <v>6067</v>
      </c>
      <c r="T83" s="4" t="s">
        <v>6067</v>
      </c>
    </row>
    <row r="84" spans="1:20" x14ac:dyDescent="0.2">
      <c r="A84" s="296" t="s">
        <v>1729</v>
      </c>
      <c r="B84" s="4" t="s">
        <v>6067</v>
      </c>
      <c r="C84" s="4" t="s">
        <v>6067</v>
      </c>
      <c r="D84" s="4" t="s">
        <v>6067</v>
      </c>
      <c r="E84" s="4" t="s">
        <v>6067</v>
      </c>
      <c r="G84" s="296" t="s">
        <v>1833</v>
      </c>
      <c r="H84" s="4" t="s">
        <v>6067</v>
      </c>
      <c r="I84" s="4" t="s">
        <v>6067</v>
      </c>
      <c r="J84" s="4" t="s">
        <v>6067</v>
      </c>
      <c r="K84" s="4" t="s">
        <v>6067</v>
      </c>
      <c r="L84" s="4" t="s">
        <v>6067</v>
      </c>
      <c r="M84" s="4" t="s">
        <v>6067</v>
      </c>
      <c r="N84" s="4" t="s">
        <v>6067</v>
      </c>
      <c r="P84" s="296" t="s">
        <v>1952</v>
      </c>
      <c r="Q84" s="4" t="s">
        <v>6067</v>
      </c>
      <c r="R84" s="4" t="s">
        <v>6067</v>
      </c>
      <c r="S84" s="4" t="s">
        <v>6067</v>
      </c>
      <c r="T84" s="4" t="s">
        <v>6067</v>
      </c>
    </row>
    <row r="85" spans="1:20" x14ac:dyDescent="0.2">
      <c r="A85" s="296" t="s">
        <v>1730</v>
      </c>
      <c r="B85" s="4">
        <v>31.710538347719211</v>
      </c>
      <c r="C85" s="4">
        <v>36.063887269043413</v>
      </c>
      <c r="D85" s="4">
        <v>4.3533489213241667</v>
      </c>
      <c r="E85" s="3450" t="str">
        <f>IF(       0.067&lt;0.01,"***",IF(       0.067&lt;0.05,"**",IF(       0.067&lt;0.1,"*","NS")))</f>
        <v>*</v>
      </c>
      <c r="G85" s="296" t="s">
        <v>1834</v>
      </c>
      <c r="H85" s="4">
        <v>31.710538347719211</v>
      </c>
      <c r="I85" s="4">
        <v>37.847510132891053</v>
      </c>
      <c r="J85" s="4">
        <v>6.1369717851717542</v>
      </c>
      <c r="K85" s="3451" t="str">
        <f>IF(       0.017&lt;0.01,"***",IF(       0.017&lt;0.05,"**",IF(       0.017&lt;0.1,"*","NS")))</f>
        <v>**</v>
      </c>
      <c r="L85" s="4">
        <v>27.801728692483369</v>
      </c>
      <c r="M85" s="4">
        <v>-3.9088096552358089</v>
      </c>
      <c r="N85" s="3452" t="str">
        <f>IF(       0.446&lt;0.01,"***",IF(       0.446&lt;0.05,"**",IF(       0.446&lt;0.1,"*","NS")))</f>
        <v>NS</v>
      </c>
      <c r="P85" s="296" t="s">
        <v>1953</v>
      </c>
      <c r="Q85" s="4">
        <v>32.620487242501092</v>
      </c>
      <c r="R85" s="4">
        <v>27.801728692483369</v>
      </c>
      <c r="S85" s="4">
        <v>-4.8187585500178685</v>
      </c>
      <c r="T85" s="3453" t="str">
        <f>IF(       0.349&lt;0.01,"***",IF(       0.349&lt;0.05,"**",IF(       0.349&lt;0.1,"*","NS")))</f>
        <v>NS</v>
      </c>
    </row>
    <row r="86" spans="1:20" x14ac:dyDescent="0.2">
      <c r="A86" s="296" t="s">
        <v>1731</v>
      </c>
      <c r="B86" s="4" t="s">
        <v>6067</v>
      </c>
      <c r="C86" s="4" t="s">
        <v>6067</v>
      </c>
      <c r="D86" s="4" t="s">
        <v>6067</v>
      </c>
      <c r="E86" s="4" t="s">
        <v>6067</v>
      </c>
      <c r="G86" s="296" t="s">
        <v>1835</v>
      </c>
      <c r="H86" s="4" t="s">
        <v>6067</v>
      </c>
      <c r="I86" s="4" t="s">
        <v>6067</v>
      </c>
      <c r="J86" s="4" t="s">
        <v>6067</v>
      </c>
      <c r="K86" s="4" t="s">
        <v>6067</v>
      </c>
      <c r="L86" s="4" t="s">
        <v>6067</v>
      </c>
      <c r="M86" s="4" t="s">
        <v>6067</v>
      </c>
      <c r="N86" s="4" t="s">
        <v>6067</v>
      </c>
      <c r="P86" s="296" t="s">
        <v>1954</v>
      </c>
      <c r="Q86" s="4" t="s">
        <v>6067</v>
      </c>
      <c r="R86" s="4" t="s">
        <v>6067</v>
      </c>
      <c r="S86" s="4" t="s">
        <v>6067</v>
      </c>
      <c r="T86" s="4" t="s">
        <v>6067</v>
      </c>
    </row>
    <row r="87" spans="1:20" x14ac:dyDescent="0.2">
      <c r="A87" s="296" t="s">
        <v>1732</v>
      </c>
      <c r="B87" s="4" t="s">
        <v>6067</v>
      </c>
      <c r="C87" s="4" t="s">
        <v>6067</v>
      </c>
      <c r="D87" s="4" t="s">
        <v>6067</v>
      </c>
      <c r="E87" s="4" t="s">
        <v>6067</v>
      </c>
      <c r="G87" s="296" t="s">
        <v>1836</v>
      </c>
      <c r="H87" s="4" t="s">
        <v>6067</v>
      </c>
      <c r="I87" s="4" t="s">
        <v>6067</v>
      </c>
      <c r="J87" s="4" t="s">
        <v>6067</v>
      </c>
      <c r="K87" s="4" t="s">
        <v>6067</v>
      </c>
      <c r="L87" s="4" t="s">
        <v>6067</v>
      </c>
      <c r="M87" s="4" t="s">
        <v>6067</v>
      </c>
      <c r="N87" s="4" t="s">
        <v>6067</v>
      </c>
      <c r="P87" s="296" t="s">
        <v>1955</v>
      </c>
      <c r="Q87" s="4" t="s">
        <v>6067</v>
      </c>
      <c r="R87" s="4" t="s">
        <v>6067</v>
      </c>
      <c r="S87" s="4" t="s">
        <v>6067</v>
      </c>
      <c r="T87" s="4" t="s">
        <v>6067</v>
      </c>
    </row>
    <row r="88" spans="1:20" x14ac:dyDescent="0.2">
      <c r="A88" s="296" t="s">
        <v>1733</v>
      </c>
      <c r="B88" s="4" t="s">
        <v>6067</v>
      </c>
      <c r="C88" s="4" t="s">
        <v>6067</v>
      </c>
      <c r="D88" s="4" t="s">
        <v>6067</v>
      </c>
      <c r="E88" s="4" t="s">
        <v>6067</v>
      </c>
      <c r="G88" s="296" t="s">
        <v>1837</v>
      </c>
      <c r="H88" s="4" t="s">
        <v>6067</v>
      </c>
      <c r="I88" s="4" t="s">
        <v>6067</v>
      </c>
      <c r="J88" s="4" t="s">
        <v>6067</v>
      </c>
      <c r="K88" s="4" t="s">
        <v>6067</v>
      </c>
      <c r="L88" s="4" t="s">
        <v>6067</v>
      </c>
      <c r="M88" s="4" t="s">
        <v>6067</v>
      </c>
      <c r="N88" s="4" t="s">
        <v>6067</v>
      </c>
      <c r="P88" s="296" t="s">
        <v>1956</v>
      </c>
      <c r="Q88" s="4" t="s">
        <v>6067</v>
      </c>
      <c r="R88" s="4" t="s">
        <v>6067</v>
      </c>
      <c r="S88" s="4" t="s">
        <v>6067</v>
      </c>
      <c r="T88" s="4" t="s">
        <v>6067</v>
      </c>
    </row>
    <row r="89" spans="1:20" x14ac:dyDescent="0.2">
      <c r="A89" s="296" t="s">
        <v>1734</v>
      </c>
      <c r="B89" s="4">
        <v>43.223691159685259</v>
      </c>
      <c r="C89" s="4">
        <v>42.785758265114488</v>
      </c>
      <c r="D89" s="4">
        <v>-0.43793289457076295</v>
      </c>
      <c r="E89" s="3454" t="str">
        <f>IF(       0.924&lt;0.01,"***",IF(       0.924&lt;0.05,"**",IF(       0.924&lt;0.1,"*","NS")))</f>
        <v>NS</v>
      </c>
      <c r="G89" s="296" t="s">
        <v>1838</v>
      </c>
      <c r="H89" s="4">
        <v>43.223691159685259</v>
      </c>
      <c r="I89" s="4">
        <v>38.042682847763558</v>
      </c>
      <c r="J89" s="4">
        <v>-5.1810083119217429</v>
      </c>
      <c r="K89" s="3455" t="str">
        <f>IF(       0.102&lt;0.01,"***",IF(       0.102&lt;0.05,"**",IF(       0.102&lt;0.1,"*","NS")))</f>
        <v>NS</v>
      </c>
      <c r="L89" s="4">
        <v>55.407376826693422</v>
      </c>
      <c r="M89" s="4">
        <v>12.183685667008119</v>
      </c>
      <c r="N89" s="3456" t="str">
        <f>IF(       0.17&lt;0.01,"***",IF(       0.17&lt;0.05,"**",IF(       0.17&lt;0.1,"*","NS")))</f>
        <v>NS</v>
      </c>
      <c r="P89" s="296" t="s">
        <v>1957</v>
      </c>
      <c r="Q89" s="4">
        <v>42.294778866834363</v>
      </c>
      <c r="R89" s="4">
        <v>55.407376826693422</v>
      </c>
      <c r="S89" s="4">
        <v>13.112597959859071</v>
      </c>
      <c r="T89" s="3457" t="str">
        <f>IF(       0.129&lt;0.01,"***",IF(       0.129&lt;0.05,"**",IF(       0.129&lt;0.1,"*","NS")))</f>
        <v>NS</v>
      </c>
    </row>
    <row r="90" spans="1:20" x14ac:dyDescent="0.2">
      <c r="A90" s="296" t="s">
        <v>1735</v>
      </c>
      <c r="B90" s="4" t="s">
        <v>6067</v>
      </c>
      <c r="C90" s="4" t="s">
        <v>6067</v>
      </c>
      <c r="D90" s="4" t="s">
        <v>6067</v>
      </c>
      <c r="E90" s="4" t="s">
        <v>6067</v>
      </c>
      <c r="G90" s="296" t="s">
        <v>1839</v>
      </c>
      <c r="H90" s="4" t="s">
        <v>6067</v>
      </c>
      <c r="I90" s="4" t="s">
        <v>6067</v>
      </c>
      <c r="J90" s="4" t="s">
        <v>6067</v>
      </c>
      <c r="K90" s="4" t="s">
        <v>6067</v>
      </c>
      <c r="L90" s="4" t="s">
        <v>6067</v>
      </c>
      <c r="M90" s="4" t="s">
        <v>6067</v>
      </c>
      <c r="N90" s="4" t="s">
        <v>6067</v>
      </c>
      <c r="P90" s="296" t="s">
        <v>1958</v>
      </c>
      <c r="Q90" s="4" t="s">
        <v>6067</v>
      </c>
      <c r="R90" s="4" t="s">
        <v>6067</v>
      </c>
      <c r="S90" s="4" t="s">
        <v>6067</v>
      </c>
      <c r="T90" s="4" t="s">
        <v>6067</v>
      </c>
    </row>
    <row r="91" spans="1:20" x14ac:dyDescent="0.2">
      <c r="A91" s="296" t="s">
        <v>1736</v>
      </c>
      <c r="B91" s="4" t="s">
        <v>6067</v>
      </c>
      <c r="C91" s="4" t="s">
        <v>6067</v>
      </c>
      <c r="D91" s="4" t="s">
        <v>6067</v>
      </c>
      <c r="E91" s="4" t="s">
        <v>6067</v>
      </c>
      <c r="G91" s="296" t="s">
        <v>1840</v>
      </c>
      <c r="H91" s="4" t="s">
        <v>6067</v>
      </c>
      <c r="I91" s="4" t="s">
        <v>6067</v>
      </c>
      <c r="J91" s="4" t="s">
        <v>6067</v>
      </c>
      <c r="K91" s="4" t="s">
        <v>6067</v>
      </c>
      <c r="L91" s="4" t="s">
        <v>6067</v>
      </c>
      <c r="M91" s="4" t="s">
        <v>6067</v>
      </c>
      <c r="N91" s="4" t="s">
        <v>6067</v>
      </c>
      <c r="P91" s="296" t="s">
        <v>1959</v>
      </c>
      <c r="Q91" s="4" t="s">
        <v>6067</v>
      </c>
      <c r="R91" s="4" t="s">
        <v>6067</v>
      </c>
      <c r="S91" s="4" t="s">
        <v>6067</v>
      </c>
      <c r="T91" s="4" t="s">
        <v>6067</v>
      </c>
    </row>
    <row r="92" spans="1:20" x14ac:dyDescent="0.2">
      <c r="A92" s="296" t="s">
        <v>1737</v>
      </c>
      <c r="B92" s="4">
        <v>23.9424660990753</v>
      </c>
      <c r="C92" s="4">
        <v>14.748400663672561</v>
      </c>
      <c r="D92" s="4">
        <v>-9.1940654354027522</v>
      </c>
      <c r="E92" s="3458" t="str">
        <f>IF(       0.002&lt;0.01,"***",IF(       0.002&lt;0.05,"**",IF(       0.002&lt;0.1,"*","NS")))</f>
        <v>***</v>
      </c>
      <c r="G92" s="296" t="s">
        <v>1841</v>
      </c>
      <c r="H92" s="4">
        <v>23.9424660990753</v>
      </c>
      <c r="I92" s="4">
        <v>15.55247386336835</v>
      </c>
      <c r="J92" s="4">
        <v>-8.3899922357069308</v>
      </c>
      <c r="K92" s="3459" t="str">
        <f>IF(       0.014&lt;0.01,"***",IF(       0.014&lt;0.05,"**",IF(       0.014&lt;0.1,"*","NS")))</f>
        <v>**</v>
      </c>
      <c r="L92" s="4">
        <v>13.092159061619039</v>
      </c>
      <c r="M92" s="4">
        <v>-10.850307037456187</v>
      </c>
      <c r="N92" s="3460" t="str">
        <f>IF(       0.003&lt;0.01,"***",IF(       0.003&lt;0.05,"**",IF(       0.003&lt;0.1,"*","NS")))</f>
        <v>***</v>
      </c>
      <c r="P92" s="296" t="s">
        <v>1960</v>
      </c>
      <c r="Q92" s="4">
        <v>21.517252511897009</v>
      </c>
      <c r="R92" s="4">
        <v>13.092159061619039</v>
      </c>
      <c r="S92" s="4">
        <v>-8.4250934502779629</v>
      </c>
      <c r="T92" s="3461" t="str">
        <f>IF(       0.01&lt;0.01,"***",IF(       0.01&lt;0.05,"**",IF(       0.01&lt;0.1,"*","NS")))</f>
        <v>**</v>
      </c>
    </row>
    <row r="93" spans="1:20" x14ac:dyDescent="0.2">
      <c r="A93" s="296" t="s">
        <v>1738</v>
      </c>
      <c r="B93" s="4" t="s">
        <v>6067</v>
      </c>
      <c r="C93" s="4" t="s">
        <v>6067</v>
      </c>
      <c r="D93" s="4" t="s">
        <v>6067</v>
      </c>
      <c r="E93" s="4" t="s">
        <v>6067</v>
      </c>
      <c r="G93" s="296" t="s">
        <v>1842</v>
      </c>
      <c r="H93" s="4" t="s">
        <v>6067</v>
      </c>
      <c r="I93" s="4" t="s">
        <v>6067</v>
      </c>
      <c r="J93" s="4" t="s">
        <v>6067</v>
      </c>
      <c r="K93" s="4" t="s">
        <v>6067</v>
      </c>
      <c r="L93" s="4" t="s">
        <v>6067</v>
      </c>
      <c r="M93" s="4" t="s">
        <v>6067</v>
      </c>
      <c r="N93" s="4" t="s">
        <v>6067</v>
      </c>
      <c r="P93" s="296" t="s">
        <v>1961</v>
      </c>
      <c r="Q93" s="4" t="s">
        <v>6067</v>
      </c>
      <c r="R93" s="4" t="s">
        <v>6067</v>
      </c>
      <c r="S93" s="4" t="s">
        <v>6067</v>
      </c>
      <c r="T93" s="4" t="s">
        <v>6067</v>
      </c>
    </row>
    <row r="94" spans="1:20" x14ac:dyDescent="0.2">
      <c r="A94" s="296" t="s">
        <v>5835</v>
      </c>
      <c r="B94" s="4">
        <v>33.752936161678747</v>
      </c>
      <c r="C94" s="4">
        <v>31.29647608924391</v>
      </c>
      <c r="D94" s="4">
        <v>-2.4564600724347581</v>
      </c>
      <c r="E94" s="3462" t="str">
        <f>IF(       0.139&lt;0.01,"***",IF(       0.139&lt;0.05,"**",IF(       0.139&lt;0.1,"*","NS")))</f>
        <v>NS</v>
      </c>
      <c r="G94" s="296" t="s">
        <v>5835</v>
      </c>
      <c r="H94" s="4">
        <v>33.752936161678747</v>
      </c>
      <c r="I94" s="4">
        <v>31.81889920757661</v>
      </c>
      <c r="J94" s="4">
        <v>-1.9340369541021696</v>
      </c>
      <c r="K94" s="3463" t="str">
        <f>IF(       0.218&lt;0.01,"***",IF(       0.218&lt;0.05,"**",IF(       0.218&lt;0.1,"*","NS")))</f>
        <v>NS</v>
      </c>
      <c r="L94" s="4">
        <v>29.53924682218971</v>
      </c>
      <c r="M94" s="4">
        <v>-4.2136893394891253</v>
      </c>
      <c r="N94" s="3464" t="str">
        <f>IF(       0.189&lt;0.01,"***",IF(       0.189&lt;0.05,"**",IF(       0.189&lt;0.1,"*","NS")))</f>
        <v>NS</v>
      </c>
      <c r="P94" s="296" t="s">
        <v>5835</v>
      </c>
      <c r="Q94" s="4">
        <v>33.373016717688998</v>
      </c>
      <c r="R94" s="4">
        <v>29.53924682218971</v>
      </c>
      <c r="S94" s="4">
        <v>-3.8337698954993007</v>
      </c>
      <c r="T94" s="3465" t="str">
        <f>IF(       0.215&lt;0.01,"***",IF(       0.215&lt;0.05,"**",IF(       0.215&lt;0.1,"*","NS")))</f>
        <v>NS</v>
      </c>
    </row>
    <row r="96" spans="1:20" x14ac:dyDescent="0.2">
      <c r="A96" s="296" t="s">
        <v>5744</v>
      </c>
      <c r="G96" s="296" t="s">
        <v>5745</v>
      </c>
      <c r="P96" s="296" t="s">
        <v>5746</v>
      </c>
    </row>
    <row r="97" spans="1:20" s="3" customFormat="1" x14ac:dyDescent="0.2">
      <c r="A97" s="6090" t="s">
        <v>4553</v>
      </c>
      <c r="B97" s="6091" t="s">
        <v>4554</v>
      </c>
      <c r="C97" s="6092" t="s">
        <v>4555</v>
      </c>
      <c r="D97" s="6093" t="s">
        <v>4556</v>
      </c>
      <c r="E97" s="6094" t="s">
        <v>4557</v>
      </c>
      <c r="G97" s="6095" t="s">
        <v>4593</v>
      </c>
      <c r="H97" s="6096" t="s">
        <v>4594</v>
      </c>
      <c r="I97" s="6097" t="s">
        <v>4595</v>
      </c>
      <c r="J97" s="6098" t="s">
        <v>4596</v>
      </c>
      <c r="K97" s="6099" t="s">
        <v>4597</v>
      </c>
      <c r="L97" s="6100" t="s">
        <v>4633</v>
      </c>
      <c r="M97" s="6101" t="s">
        <v>4634</v>
      </c>
      <c r="N97" s="6102" t="s">
        <v>4635</v>
      </c>
      <c r="P97" s="6103" t="s">
        <v>4639</v>
      </c>
      <c r="Q97" s="6104" t="s">
        <v>4640</v>
      </c>
      <c r="R97" s="6105" t="s">
        <v>4641</v>
      </c>
      <c r="S97" s="6106" t="s">
        <v>4642</v>
      </c>
      <c r="T97" s="6107" t="s">
        <v>4643</v>
      </c>
    </row>
    <row r="98" spans="1:20" x14ac:dyDescent="0.2">
      <c r="A98" s="296" t="s">
        <v>4558</v>
      </c>
      <c r="B98" s="4">
        <v>10.484425520770509</v>
      </c>
      <c r="C98" s="4">
        <v>10.790099542477551</v>
      </c>
      <c r="D98" s="4">
        <v>0.30567402170703278</v>
      </c>
      <c r="E98" s="3466" t="str">
        <f>IF(       0.907&lt;0.01,"***",IF(       0.907&lt;0.05,"**",IF(       0.907&lt;0.1,"*","NS")))</f>
        <v>NS</v>
      </c>
      <c r="G98" s="296" t="s">
        <v>4598</v>
      </c>
      <c r="H98" s="4">
        <v>10.484425520770509</v>
      </c>
      <c r="I98" s="4">
        <v>11.163445455477669</v>
      </c>
      <c r="J98" s="4">
        <v>0.67901993470716371</v>
      </c>
      <c r="K98" s="3467" t="str">
        <f>IF(       0.803&lt;0.01,"***",IF(       0.803&lt;0.05,"**",IF(       0.803&lt;0.1,"*","NS")))</f>
        <v>NS</v>
      </c>
      <c r="L98" s="4">
        <v>8.0075609815417774</v>
      </c>
      <c r="M98" s="4">
        <v>-2.4768645392287412</v>
      </c>
      <c r="N98" s="3468" t="str">
        <f>IF(       0.006&lt;0.01,"***",IF(       0.006&lt;0.05,"**",IF(       0.006&lt;0.1,"*","NS")))</f>
        <v>***</v>
      </c>
      <c r="P98" s="296" t="s">
        <v>4644</v>
      </c>
      <c r="Q98" s="4">
        <v>10.680933651962381</v>
      </c>
      <c r="R98" s="4">
        <v>8.0075609815417774</v>
      </c>
      <c r="S98" s="4">
        <v>-2.6733726704206027</v>
      </c>
      <c r="T98" s="3469" t="str">
        <f>IF(       0.367&lt;0.01,"***",IF(       0.367&lt;0.05,"**",IF(       0.367&lt;0.1,"*","NS")))</f>
        <v>NS</v>
      </c>
    </row>
    <row r="99" spans="1:20" x14ac:dyDescent="0.2">
      <c r="A99" s="296" t="s">
        <v>4559</v>
      </c>
      <c r="B99" s="4">
        <v>16.80319570569576</v>
      </c>
      <c r="C99" s="4">
        <v>10.98780305777194</v>
      </c>
      <c r="D99" s="4">
        <v>-5.8153926479238036</v>
      </c>
      <c r="E99" s="3470" t="str">
        <f>IF(       0.005&lt;0.01,"***",IF(       0.005&lt;0.05,"**",IF(       0.005&lt;0.1,"*","NS")))</f>
        <v>***</v>
      </c>
      <c r="G99" s="296" t="s">
        <v>4599</v>
      </c>
      <c r="H99" s="4">
        <v>16.80319570569576</v>
      </c>
      <c r="I99" s="4">
        <v>11.931361144658471</v>
      </c>
      <c r="J99" s="4">
        <v>-4.8718345610372307</v>
      </c>
      <c r="K99" s="3471" t="str">
        <f>IF(       0.019&lt;0.01,"***",IF(       0.019&lt;0.05,"**",IF(       0.019&lt;0.1,"*","NS")))</f>
        <v>**</v>
      </c>
      <c r="L99" s="4">
        <v>6.4851167389346882</v>
      </c>
      <c r="M99" s="4">
        <v>-10.318078966761353</v>
      </c>
      <c r="N99" s="3472" t="str">
        <f>IF(       0.453&lt;0.01,"***",IF(       0.453&lt;0.05,"**",IF(       0.453&lt;0.1,"*","NS")))</f>
        <v>NS</v>
      </c>
      <c r="P99" s="296" t="s">
        <v>4645</v>
      </c>
      <c r="Q99" s="4">
        <v>15.82209123076847</v>
      </c>
      <c r="R99" s="4">
        <v>6.4851167389346882</v>
      </c>
      <c r="S99" s="4">
        <v>-9.3369744918337521</v>
      </c>
      <c r="T99" s="3473" t="str">
        <f>IF(       0.009&lt;0.01,"***",IF(       0.009&lt;0.05,"**",IF(       0.009&lt;0.1,"*","NS")))</f>
        <v>***</v>
      </c>
    </row>
    <row r="100" spans="1:20" x14ac:dyDescent="0.2">
      <c r="A100" s="296" t="s">
        <v>4560</v>
      </c>
      <c r="B100" s="4">
        <v>9.2088314680777188</v>
      </c>
      <c r="C100" s="4">
        <v>7.1261956949013152</v>
      </c>
      <c r="D100" s="4">
        <v>-2.0826357731764102</v>
      </c>
      <c r="E100" s="3474" t="str">
        <f>IF(       0.36&lt;0.01,"***",IF(       0.36&lt;0.05,"**",IF(       0.36&lt;0.1,"*","NS")))</f>
        <v>NS</v>
      </c>
      <c r="G100" s="296" t="s">
        <v>4600</v>
      </c>
      <c r="H100" s="4">
        <v>9.2088314680777188</v>
      </c>
      <c r="I100" s="4">
        <v>7.2144081631347952</v>
      </c>
      <c r="J100" s="4">
        <v>-1.9944233049429307</v>
      </c>
      <c r="K100" s="3475" t="str">
        <f>IF(       0.324&lt;0.01,"***",IF(       0.324&lt;0.05,"**",IF(       0.324&lt;0.1,"*","NS")))</f>
        <v>NS</v>
      </c>
      <c r="L100" s="4">
        <v>6.7040904956647491</v>
      </c>
      <c r="M100" s="4">
        <v>-2.5047409724129985</v>
      </c>
      <c r="N100" s="3476" t="str">
        <f>IF(       0.006&lt;0.01,"***",IF(       0.006&lt;0.05,"**",IF(       0.006&lt;0.1,"*","NS")))</f>
        <v>***</v>
      </c>
      <c r="P100" s="296" t="s">
        <v>4646</v>
      </c>
      <c r="Q100" s="4">
        <v>8.9051960487727193</v>
      </c>
      <c r="R100" s="4">
        <v>6.7040904956647491</v>
      </c>
      <c r="S100" s="4">
        <v>-2.2011055531079293</v>
      </c>
      <c r="T100" s="3477" t="str">
        <f>IF(       0.613&lt;0.01,"***",IF(       0.613&lt;0.05,"**",IF(       0.613&lt;0.1,"*","NS")))</f>
        <v>NS</v>
      </c>
    </row>
    <row r="101" spans="1:20" x14ac:dyDescent="0.2">
      <c r="A101" s="296" t="s">
        <v>4561</v>
      </c>
      <c r="B101" s="4">
        <v>16.278353547284141</v>
      </c>
      <c r="C101" s="4">
        <v>14.60174805841179</v>
      </c>
      <c r="D101" s="4">
        <v>-1.676605488872317</v>
      </c>
      <c r="E101" s="3478" t="str">
        <f>IF(       0.519&lt;0.01,"***",IF(       0.519&lt;0.05,"**",IF(       0.519&lt;0.1,"*","NS")))</f>
        <v>NS</v>
      </c>
      <c r="G101" s="296" t="s">
        <v>4601</v>
      </c>
      <c r="H101" s="4">
        <v>16.278353547284141</v>
      </c>
      <c r="I101" s="4">
        <v>14.880971138272541</v>
      </c>
      <c r="J101" s="4">
        <v>-1.3973824090116442</v>
      </c>
      <c r="K101" s="3479" t="str">
        <f>IF(       0.614&lt;0.01,"***",IF(       0.614&lt;0.05,"**",IF(       0.614&lt;0.1,"*","NS")))</f>
        <v>NS</v>
      </c>
      <c r="L101" s="4">
        <v>12.714074622397501</v>
      </c>
      <c r="M101" s="4">
        <v>-3.5642789248866182</v>
      </c>
      <c r="N101" s="3480" t="str">
        <f>IF(       0.582&lt;0.01,"***",IF(       0.582&lt;0.05,"**",IF(       0.582&lt;0.1,"*","NS")))</f>
        <v>NS</v>
      </c>
      <c r="P101" s="296" t="s">
        <v>4647</v>
      </c>
      <c r="Q101" s="4">
        <v>15.970526802866431</v>
      </c>
      <c r="R101" s="4">
        <v>12.714074622397501</v>
      </c>
      <c r="S101" s="4">
        <v>-3.2564521804689317</v>
      </c>
      <c r="T101" s="3481" t="str">
        <f>IF(       0.439&lt;0.01,"***",IF(       0.439&lt;0.05,"**",IF(       0.439&lt;0.1,"*","NS")))</f>
        <v>NS</v>
      </c>
    </row>
    <row r="102" spans="1:20" x14ac:dyDescent="0.2">
      <c r="A102" s="296" t="s">
        <v>4562</v>
      </c>
      <c r="B102" s="4" t="s">
        <v>6067</v>
      </c>
      <c r="C102" s="4" t="s">
        <v>6067</v>
      </c>
      <c r="D102" s="4" t="s">
        <v>6067</v>
      </c>
      <c r="E102" s="4" t="s">
        <v>6067</v>
      </c>
      <c r="G102" s="296" t="s">
        <v>4602</v>
      </c>
      <c r="H102" s="4" t="s">
        <v>6067</v>
      </c>
      <c r="I102" s="4" t="s">
        <v>6067</v>
      </c>
      <c r="J102" s="4" t="s">
        <v>6067</v>
      </c>
      <c r="K102" s="4" t="s">
        <v>6067</v>
      </c>
      <c r="L102" s="4" t="s">
        <v>6067</v>
      </c>
      <c r="M102" s="4" t="s">
        <v>6067</v>
      </c>
      <c r="N102" s="4" t="s">
        <v>6067</v>
      </c>
      <c r="P102" s="296" t="s">
        <v>4648</v>
      </c>
      <c r="Q102" s="4" t="s">
        <v>6067</v>
      </c>
      <c r="R102" s="4" t="s">
        <v>6067</v>
      </c>
      <c r="S102" s="4" t="s">
        <v>6067</v>
      </c>
      <c r="T102" s="4" t="s">
        <v>6067</v>
      </c>
    </row>
    <row r="103" spans="1:20" x14ac:dyDescent="0.2">
      <c r="A103" s="296" t="s">
        <v>4563</v>
      </c>
      <c r="B103" s="4">
        <v>33.126968350776679</v>
      </c>
      <c r="C103" s="4">
        <v>27.581211523922448</v>
      </c>
      <c r="D103" s="4">
        <v>-5.5457568268540092</v>
      </c>
      <c r="E103" s="3482" t="str">
        <f>IF(       0.109&lt;0.01,"***",IF(       0.109&lt;0.05,"**",IF(       0.109&lt;0.1,"*","NS")))</f>
        <v>NS</v>
      </c>
      <c r="G103" s="296" t="s">
        <v>4603</v>
      </c>
      <c r="H103" s="4">
        <v>33.126968350776679</v>
      </c>
      <c r="I103" s="4">
        <v>27.12527442584587</v>
      </c>
      <c r="J103" s="4">
        <v>-6.001693924930775</v>
      </c>
      <c r="K103" s="3483" t="str">
        <f>IF(       0.088&lt;0.01,"***",IF(       0.088&lt;0.05,"**",IF(       0.088&lt;0.1,"*","NS")))</f>
        <v>*</v>
      </c>
      <c r="L103" s="4">
        <v>29.863629965483721</v>
      </c>
      <c r="M103" s="4">
        <v>-3.2633383852929398</v>
      </c>
      <c r="N103" s="3484" t="str">
        <f>IF(       0.968&lt;0.01,"***",IF(       0.968&lt;0.05,"**",IF(       0.968&lt;0.1,"*","NS")))</f>
        <v>NS</v>
      </c>
      <c r="P103" s="296" t="s">
        <v>4649</v>
      </c>
      <c r="Q103" s="4">
        <v>31.908634621662149</v>
      </c>
      <c r="R103" s="4">
        <v>29.863629965483721</v>
      </c>
      <c r="S103" s="4">
        <v>-2.0450046561784094</v>
      </c>
      <c r="T103" s="3485" t="str">
        <f>IF(       0.749&lt;0.01,"***",IF(       0.749&lt;0.05,"**",IF(       0.749&lt;0.1,"*","NS")))</f>
        <v>NS</v>
      </c>
    </row>
    <row r="104" spans="1:20" x14ac:dyDescent="0.2">
      <c r="A104" s="296" t="s">
        <v>4564</v>
      </c>
      <c r="B104" s="4">
        <v>29.692804714137811</v>
      </c>
      <c r="C104" s="4">
        <v>29.02163694257947</v>
      </c>
      <c r="D104" s="4">
        <v>-0.67116777155833574</v>
      </c>
      <c r="E104" s="3486" t="str">
        <f>IF(       0.818&lt;0.01,"***",IF(       0.818&lt;0.05,"**",IF(       0.818&lt;0.1,"*","NS")))</f>
        <v>NS</v>
      </c>
      <c r="G104" s="296" t="s">
        <v>4604</v>
      </c>
      <c r="H104" s="4">
        <v>29.692804714137811</v>
      </c>
      <c r="I104" s="4">
        <v>33.343256247315793</v>
      </c>
      <c r="J104" s="4">
        <v>3.6504515331779088</v>
      </c>
      <c r="K104" s="3487" t="str">
        <f>IF(       0.293&lt;0.01,"***",IF(       0.293&lt;0.05,"**",IF(       0.293&lt;0.1,"*","NS")))</f>
        <v>NS</v>
      </c>
      <c r="L104" s="4">
        <v>11.565164144458709</v>
      </c>
      <c r="M104" s="4">
        <v>-18.127640569679546</v>
      </c>
      <c r="N104" s="3488" t="str">
        <f>IF(       0.621&lt;0.01,"***",IF(       0.621&lt;0.05,"**",IF(       0.621&lt;0.1,"*","NS")))</f>
        <v>NS</v>
      </c>
      <c r="P104" s="296" t="s">
        <v>4650</v>
      </c>
      <c r="Q104" s="4">
        <v>30.07320218131273</v>
      </c>
      <c r="R104" s="4">
        <v>11.565164144458709</v>
      </c>
      <c r="S104" s="4">
        <v>-18.50803803685373</v>
      </c>
      <c r="T104" s="3489" t="str">
        <f>IF(       0&lt;0.01,"***",IF(       0&lt;0.05,"**",IF(       0&lt;0.1,"*","NS")))</f>
        <v>***</v>
      </c>
    </row>
    <row r="105" spans="1:20" x14ac:dyDescent="0.2">
      <c r="A105" s="296" t="s">
        <v>4565</v>
      </c>
      <c r="B105" s="4" t="s">
        <v>6067</v>
      </c>
      <c r="C105" s="4" t="s">
        <v>6067</v>
      </c>
      <c r="D105" s="4" t="s">
        <v>6067</v>
      </c>
      <c r="E105" s="4" t="s">
        <v>6067</v>
      </c>
      <c r="G105" s="296" t="s">
        <v>4605</v>
      </c>
      <c r="H105" s="4" t="s">
        <v>6067</v>
      </c>
      <c r="I105" s="4" t="s">
        <v>6067</v>
      </c>
      <c r="J105" s="4" t="s">
        <v>6067</v>
      </c>
      <c r="K105" s="4" t="s">
        <v>6067</v>
      </c>
      <c r="L105" s="4" t="s">
        <v>6067</v>
      </c>
      <c r="M105" s="4" t="s">
        <v>6067</v>
      </c>
      <c r="N105" s="4" t="s">
        <v>6067</v>
      </c>
      <c r="P105" s="296" t="s">
        <v>4651</v>
      </c>
      <c r="Q105" s="4" t="s">
        <v>6067</v>
      </c>
      <c r="R105" s="4" t="s">
        <v>6067</v>
      </c>
      <c r="S105" s="4" t="s">
        <v>6067</v>
      </c>
      <c r="T105" s="4" t="s">
        <v>6067</v>
      </c>
    </row>
    <row r="106" spans="1:20" x14ac:dyDescent="0.2">
      <c r="A106" s="296" t="s">
        <v>4566</v>
      </c>
      <c r="B106" s="4">
        <v>21.225448287300509</v>
      </c>
      <c r="C106" s="4">
        <v>9.0360089621776289</v>
      </c>
      <c r="D106" s="4">
        <v>-12.189439325122954</v>
      </c>
      <c r="E106" s="3490" t="str">
        <f>IF(       0&lt;0.01,"***",IF(       0&lt;0.05,"**",IF(       0&lt;0.1,"*","NS")))</f>
        <v>***</v>
      </c>
      <c r="G106" s="296" t="s">
        <v>4606</v>
      </c>
      <c r="H106" s="4">
        <v>21.225448287300509</v>
      </c>
      <c r="I106" s="4">
        <v>10.13658004777189</v>
      </c>
      <c r="J106" s="4">
        <v>-11.088868239528715</v>
      </c>
      <c r="K106" s="3491" t="str">
        <f>IF(       0&lt;0.01,"***",IF(       0&lt;0.05,"**",IF(       0&lt;0.1,"*","NS")))</f>
        <v>***</v>
      </c>
      <c r="L106" s="4">
        <v>6.126075619416989</v>
      </c>
      <c r="M106" s="4">
        <v>-15.099372667883438</v>
      </c>
      <c r="N106" s="3492" t="str">
        <f>IF(       0.385&lt;0.01,"***",IF(       0.385&lt;0.05,"**",IF(       0.385&lt;0.1,"*","NS")))</f>
        <v>NS</v>
      </c>
      <c r="P106" s="296" t="s">
        <v>4652</v>
      </c>
      <c r="Q106" s="4">
        <v>18.54857346851453</v>
      </c>
      <c r="R106" s="4">
        <v>6.126075619416989</v>
      </c>
      <c r="S106" s="4">
        <v>-12.422497849097439</v>
      </c>
      <c r="T106" s="3493" t="str">
        <f>IF(       0&lt;0.01,"***",IF(       0&lt;0.05,"**",IF(       0&lt;0.1,"*","NS")))</f>
        <v>***</v>
      </c>
    </row>
    <row r="107" spans="1:20" x14ac:dyDescent="0.2">
      <c r="A107" s="296" t="s">
        <v>4567</v>
      </c>
      <c r="B107" s="4">
        <v>10.754091769374581</v>
      </c>
      <c r="C107" s="4">
        <v>8.3192101089997728</v>
      </c>
      <c r="D107" s="4">
        <v>-2.4348816603748205</v>
      </c>
      <c r="E107" s="3494" t="str">
        <f>IF(       0.062&lt;0.01,"***",IF(       0.062&lt;0.05,"**",IF(       0.062&lt;0.1,"*","NS")))</f>
        <v>*</v>
      </c>
      <c r="G107" s="296" t="s">
        <v>4607</v>
      </c>
      <c r="H107" s="4">
        <v>10.754091769374581</v>
      </c>
      <c r="I107" s="4">
        <v>8.6969086393528841</v>
      </c>
      <c r="J107" s="4">
        <v>-2.0571831300216963</v>
      </c>
      <c r="K107" s="3495" t="str">
        <f>IF(       0.145&lt;0.01,"***",IF(       0.145&lt;0.05,"**",IF(       0.145&lt;0.1,"*","NS")))</f>
        <v>NS</v>
      </c>
      <c r="L107" s="4">
        <v>6.1027702747378703</v>
      </c>
      <c r="M107" s="4">
        <v>-4.6513214946367532</v>
      </c>
      <c r="N107" s="3496" t="str">
        <f>IF(       0&lt;0.01,"***",IF(       0&lt;0.05,"**",IF(       0&lt;0.1,"*","NS")))</f>
        <v>***</v>
      </c>
      <c r="P107" s="296" t="s">
        <v>4653</v>
      </c>
      <c r="Q107" s="4">
        <v>10.09591408986547</v>
      </c>
      <c r="R107" s="4">
        <v>6.1027702747378703</v>
      </c>
      <c r="S107" s="4">
        <v>-3.9931438151273793</v>
      </c>
      <c r="T107" s="3497" t="str">
        <f>IF(       0.083&lt;0.01,"***",IF(       0.083&lt;0.05,"**",IF(       0.083&lt;0.1,"*","NS")))</f>
        <v>*</v>
      </c>
    </row>
    <row r="108" spans="1:20" x14ac:dyDescent="0.2">
      <c r="A108" s="296" t="s">
        <v>4568</v>
      </c>
      <c r="B108" s="4">
        <v>36.921050408293098</v>
      </c>
      <c r="C108" s="4">
        <v>28.73684908698894</v>
      </c>
      <c r="D108" s="4">
        <v>-8.1842013213042435</v>
      </c>
      <c r="E108" s="3498" t="str">
        <f>IF(       0.002&lt;0.01,"***",IF(       0.002&lt;0.05,"**",IF(       0.002&lt;0.1,"*","NS")))</f>
        <v>***</v>
      </c>
      <c r="G108" s="296" t="s">
        <v>4608</v>
      </c>
      <c r="H108" s="4">
        <v>36.921050408293098</v>
      </c>
      <c r="I108" s="4">
        <v>26.388618691366631</v>
      </c>
      <c r="J108" s="4">
        <v>-10.532431716926611</v>
      </c>
      <c r="K108" s="3499" t="str">
        <f>IF(       0&lt;0.01,"***",IF(       0&lt;0.05,"**",IF(       0&lt;0.1,"*","NS")))</f>
        <v>***</v>
      </c>
      <c r="L108" s="4">
        <v>38.208036240972447</v>
      </c>
      <c r="M108" s="4">
        <v>1.2869858326793431</v>
      </c>
      <c r="N108" s="3500" t="str">
        <f>IF(       0.046&lt;0.01,"***",IF(       0.046&lt;0.05,"**",IF(       0.046&lt;0.1,"*","NS")))</f>
        <v>**</v>
      </c>
      <c r="P108" s="296" t="s">
        <v>4654</v>
      </c>
      <c r="Q108" s="4">
        <v>35.303415537645947</v>
      </c>
      <c r="R108" s="4">
        <v>38.208036240972447</v>
      </c>
      <c r="S108" s="4">
        <v>2.9046207033265339</v>
      </c>
      <c r="T108" s="3501" t="str">
        <f>IF(       0.629&lt;0.01,"***",IF(       0.629&lt;0.05,"**",IF(       0.629&lt;0.1,"*","NS")))</f>
        <v>NS</v>
      </c>
    </row>
    <row r="109" spans="1:20" x14ac:dyDescent="0.2">
      <c r="A109" s="296" t="s">
        <v>4569</v>
      </c>
      <c r="B109" s="4">
        <v>42.179704949719032</v>
      </c>
      <c r="C109" s="4">
        <v>28.79773514353305</v>
      </c>
      <c r="D109" s="4">
        <v>-13.38196980618606</v>
      </c>
      <c r="E109" s="3502" t="str">
        <f>IF(       0&lt;0.01,"***",IF(       0&lt;0.05,"**",IF(       0&lt;0.1,"*","NS")))</f>
        <v>***</v>
      </c>
      <c r="G109" s="296" t="s">
        <v>4609</v>
      </c>
      <c r="H109" s="4">
        <v>42.179704949719032</v>
      </c>
      <c r="I109" s="4">
        <v>29.38481096241506</v>
      </c>
      <c r="J109" s="4">
        <v>-12.794893987303793</v>
      </c>
      <c r="K109" s="3503" t="str">
        <f>IF(       0&lt;0.01,"***",IF(       0&lt;0.05,"**",IF(       0&lt;0.1,"*","NS")))</f>
        <v>***</v>
      </c>
      <c r="L109" s="4">
        <v>25.648795020585659</v>
      </c>
      <c r="M109" s="4">
        <v>-16.530909929133305</v>
      </c>
      <c r="N109" s="3504" t="str">
        <f>IF(       0.834&lt;0.01,"***",IF(       0.834&lt;0.05,"**",IF(       0.834&lt;0.1,"*","NS")))</f>
        <v>NS</v>
      </c>
      <c r="P109" s="296" t="s">
        <v>4655</v>
      </c>
      <c r="Q109" s="4">
        <v>40.276306930678487</v>
      </c>
      <c r="R109" s="4">
        <v>25.648795020585659</v>
      </c>
      <c r="S109" s="4">
        <v>-14.627511910092863</v>
      </c>
      <c r="T109" s="3505" t="str">
        <f>IF(       0.01&lt;0.01,"***",IF(       0.01&lt;0.05,"**",IF(       0.01&lt;0.1,"*","NS")))</f>
        <v>**</v>
      </c>
    </row>
    <row r="110" spans="1:20" x14ac:dyDescent="0.2">
      <c r="A110" s="296" t="s">
        <v>4570</v>
      </c>
      <c r="B110" s="4">
        <v>16.6028792247794</v>
      </c>
      <c r="C110" s="4">
        <v>21.110038747459249</v>
      </c>
      <c r="D110" s="4">
        <v>4.5071595226798351</v>
      </c>
      <c r="E110" s="3506" t="str">
        <f>IF(       0.147&lt;0.01,"***",IF(       0.147&lt;0.05,"**",IF(       0.147&lt;0.1,"*","NS")))</f>
        <v>NS</v>
      </c>
      <c r="G110" s="296" t="s">
        <v>4610</v>
      </c>
      <c r="H110" s="4">
        <v>16.6028792247794</v>
      </c>
      <c r="I110" s="4">
        <v>17.01705969045199</v>
      </c>
      <c r="J110" s="4">
        <v>0.41418046567257272</v>
      </c>
      <c r="K110" s="3507" t="str">
        <f>IF(       0.893&lt;0.01,"***",IF(       0.893&lt;0.05,"**",IF(       0.893&lt;0.1,"*","NS")))</f>
        <v>NS</v>
      </c>
      <c r="L110" s="4">
        <v>37.16335752662998</v>
      </c>
      <c r="M110" s="4">
        <v>20.560478301850708</v>
      </c>
      <c r="N110" s="3508" t="str">
        <f>IF(       0.005&lt;0.01,"***",IF(       0.005&lt;0.05,"**",IF(       0.005&lt;0.1,"*","NS")))</f>
        <v>***</v>
      </c>
      <c r="P110" s="296" t="s">
        <v>4656</v>
      </c>
      <c r="Q110" s="4">
        <v>16.65976119945261</v>
      </c>
      <c r="R110" s="4">
        <v>37.16335752662998</v>
      </c>
      <c r="S110" s="4">
        <v>20.503596327177341</v>
      </c>
      <c r="T110" s="3509" t="str">
        <f>IF(       0&lt;0.01,"***",IF(       0&lt;0.05,"**",IF(       0&lt;0.1,"*","NS")))</f>
        <v>***</v>
      </c>
    </row>
    <row r="111" spans="1:20" x14ac:dyDescent="0.2">
      <c r="A111" s="296" t="s">
        <v>4571</v>
      </c>
      <c r="B111" s="4">
        <v>16.322540857267491</v>
      </c>
      <c r="C111" s="4">
        <v>8.8698716488021105</v>
      </c>
      <c r="D111" s="4">
        <v>-7.4526692084654558</v>
      </c>
      <c r="E111" s="3510" t="str">
        <f>IF(       0&lt;0.01,"***",IF(       0&lt;0.05,"**",IF(       0&lt;0.1,"*","NS")))</f>
        <v>***</v>
      </c>
      <c r="G111" s="296" t="s">
        <v>4611</v>
      </c>
      <c r="H111" s="4">
        <v>16.322540857267491</v>
      </c>
      <c r="I111" s="4">
        <v>9.3705289402041334</v>
      </c>
      <c r="J111" s="4">
        <v>-6.9520119170633938</v>
      </c>
      <c r="K111" s="3511" t="str">
        <f>IF(       0&lt;0.01,"***",IF(       0&lt;0.05,"**",IF(       0&lt;0.1,"*","NS")))</f>
        <v>***</v>
      </c>
      <c r="L111" s="4">
        <v>6.9367301036999933</v>
      </c>
      <c r="M111" s="4">
        <v>-9.3858107535674069</v>
      </c>
      <c r="N111" s="3512" t="str">
        <f>IF(       0&lt;0.01,"***",IF(       0&lt;0.05,"**",IF(       0&lt;0.1,"*","NS")))</f>
        <v>***</v>
      </c>
      <c r="P111" s="296" t="s">
        <v>4657</v>
      </c>
      <c r="Q111" s="4">
        <v>14.488969473366041</v>
      </c>
      <c r="R111" s="4">
        <v>6.9367301036999933</v>
      </c>
      <c r="S111" s="4">
        <v>-7.5522393696660046</v>
      </c>
      <c r="T111" s="3513" t="str">
        <f>IF(       0.003&lt;0.01,"***",IF(       0.003&lt;0.05,"**",IF(       0.003&lt;0.1,"*","NS")))</f>
        <v>***</v>
      </c>
    </row>
    <row r="112" spans="1:20" x14ac:dyDescent="0.2">
      <c r="A112" s="296" t="s">
        <v>4572</v>
      </c>
      <c r="B112" s="4">
        <v>6.8286025871533456</v>
      </c>
      <c r="C112" s="4">
        <v>4.859256070634439</v>
      </c>
      <c r="D112" s="4">
        <v>-1.9693465165188961</v>
      </c>
      <c r="E112" s="3514" t="str">
        <f>IF(       0.113&lt;0.01,"***",IF(       0.113&lt;0.05,"**",IF(       0.113&lt;0.1,"*","NS")))</f>
        <v>NS</v>
      </c>
      <c r="G112" s="296" t="s">
        <v>4612</v>
      </c>
      <c r="H112" s="4">
        <v>6.8286025871533456</v>
      </c>
      <c r="I112" s="4">
        <v>4.1780592940955872</v>
      </c>
      <c r="J112" s="4">
        <v>-2.650543293057757</v>
      </c>
      <c r="K112" s="3515" t="str">
        <f>IF(       0.056&lt;0.01,"***",IF(       0.056&lt;0.05,"**",IF(       0.056&lt;0.1,"*","NS")))</f>
        <v>*</v>
      </c>
      <c r="L112" s="4">
        <v>8.8767290330367761</v>
      </c>
      <c r="M112" s="4">
        <v>2.0481264458834358</v>
      </c>
      <c r="N112" s="3516" t="str">
        <f>IF(       0.001&lt;0.01,"***",IF(       0.001&lt;0.05,"**",IF(       0.001&lt;0.1,"*","NS")))</f>
        <v>***</v>
      </c>
      <c r="P112" s="296" t="s">
        <v>4658</v>
      </c>
      <c r="Q112" s="4">
        <v>6.3363714342335076</v>
      </c>
      <c r="R112" s="4">
        <v>8.8767290330367761</v>
      </c>
      <c r="S112" s="4">
        <v>2.5403575988033036</v>
      </c>
      <c r="T112" s="3517" t="str">
        <f>IF(       0.441&lt;0.01,"***",IF(       0.441&lt;0.05,"**",IF(       0.441&lt;0.1,"*","NS")))</f>
        <v>NS</v>
      </c>
    </row>
    <row r="113" spans="1:20" x14ac:dyDescent="0.2">
      <c r="A113" s="296" t="s">
        <v>5835</v>
      </c>
      <c r="B113" s="4">
        <v>23.23367662565477</v>
      </c>
      <c r="C113" s="4">
        <v>16.407056076650509</v>
      </c>
      <c r="D113" s="4">
        <v>-6.8266205490043488</v>
      </c>
      <c r="E113" s="3518" t="str">
        <f>IF(       0&lt;0.01,"***",IF(       0&lt;0.05,"**",IF(       0&lt;0.1,"*","NS")))</f>
        <v>***</v>
      </c>
      <c r="G113" s="296" t="s">
        <v>5835</v>
      </c>
      <c r="H113" s="4">
        <v>23.23367662565477</v>
      </c>
      <c r="I113" s="4">
        <v>16.340613745820018</v>
      </c>
      <c r="J113" s="4">
        <v>-6.8930628798349929</v>
      </c>
      <c r="K113" s="3519" t="str">
        <f>IF(       0&lt;0.01,"***",IF(       0&lt;0.05,"**",IF(       0&lt;0.1,"*","NS")))</f>
        <v>***</v>
      </c>
      <c r="L113" s="4">
        <v>16.73269490719473</v>
      </c>
      <c r="M113" s="4">
        <v>-6.5009817184604426</v>
      </c>
      <c r="N113" s="3520" t="str">
        <f>IF(       0&lt;0.01,"***",IF(       0&lt;0.05,"**",IF(       0&lt;0.1,"*","NS")))</f>
        <v>***</v>
      </c>
      <c r="P113" s="296" t="s">
        <v>5835</v>
      </c>
      <c r="Q113" s="4">
        <v>21.914413583358389</v>
      </c>
      <c r="R113" s="4">
        <v>16.73269490719473</v>
      </c>
      <c r="S113" s="4">
        <v>-5.1817186761642162</v>
      </c>
      <c r="T113" s="3521" t="str">
        <f>IF(       0&lt;0.01,"***",IF(       0&lt;0.05,"**",IF(       0&lt;0.1,"*","NS")))</f>
        <v>***</v>
      </c>
    </row>
    <row r="115" spans="1:20" x14ac:dyDescent="0.2">
      <c r="A115" s="296" t="s">
        <v>5783</v>
      </c>
      <c r="G115" s="296" t="s">
        <v>5784</v>
      </c>
      <c r="P115" s="296" t="s">
        <v>5785</v>
      </c>
    </row>
    <row r="116" spans="1:20" s="3" customFormat="1" x14ac:dyDescent="0.2">
      <c r="A116" s="6108" t="s">
        <v>4573</v>
      </c>
      <c r="B116" s="6109" t="s">
        <v>4574</v>
      </c>
      <c r="C116" s="6110" t="s">
        <v>4575</v>
      </c>
      <c r="D116" s="6111" t="s">
        <v>4576</v>
      </c>
      <c r="E116" s="6112" t="s">
        <v>4577</v>
      </c>
      <c r="G116" s="6113" t="s">
        <v>4613</v>
      </c>
      <c r="H116" s="6114" t="s">
        <v>4614</v>
      </c>
      <c r="I116" s="6115" t="s">
        <v>4615</v>
      </c>
      <c r="J116" s="6116" t="s">
        <v>4616</v>
      </c>
      <c r="K116" s="6117" t="s">
        <v>4617</v>
      </c>
      <c r="L116" s="6118" t="s">
        <v>4636</v>
      </c>
      <c r="M116" s="6119" t="s">
        <v>4637</v>
      </c>
      <c r="N116" s="6120" t="s">
        <v>4638</v>
      </c>
      <c r="P116" s="6121" t="s">
        <v>4659</v>
      </c>
      <c r="Q116" s="6122" t="s">
        <v>4660</v>
      </c>
      <c r="R116" s="6123" t="s">
        <v>4661</v>
      </c>
      <c r="S116" s="6124" t="s">
        <v>4662</v>
      </c>
      <c r="T116" s="6125" t="s">
        <v>4663</v>
      </c>
    </row>
    <row r="117" spans="1:20" x14ac:dyDescent="0.2">
      <c r="A117" s="296" t="s">
        <v>4578</v>
      </c>
      <c r="B117" s="4">
        <v>10.773960614700981</v>
      </c>
      <c r="C117" s="4">
        <v>14.08884203988724</v>
      </c>
      <c r="D117" s="4">
        <v>3.3148814251862637</v>
      </c>
      <c r="E117" s="3522" t="str">
        <f>IF(       0.276&lt;0.01,"***",IF(       0.276&lt;0.05,"**",IF(       0.276&lt;0.1,"*","NS")))</f>
        <v>NS</v>
      </c>
      <c r="G117" s="296" t="s">
        <v>4618</v>
      </c>
      <c r="H117" s="4">
        <v>10.773960614700981</v>
      </c>
      <c r="I117" s="4">
        <v>15.064161137187879</v>
      </c>
      <c r="J117" s="4">
        <v>4.2902005224869084</v>
      </c>
      <c r="K117" s="3523" t="str">
        <f>IF(       0.26&lt;0.01,"***",IF(       0.26&lt;0.05,"**",IF(       0.26&lt;0.1,"*","NS")))</f>
        <v>NS</v>
      </c>
      <c r="L117" s="4">
        <v>12.098199545738121</v>
      </c>
      <c r="M117" s="4">
        <v>1.3242389310371507</v>
      </c>
      <c r="N117" s="3524" t="str">
        <f>IF(       0.659&lt;0.01,"***",IF(       0.659&lt;0.05,"**",IF(       0.659&lt;0.1,"*","NS")))</f>
        <v>NS</v>
      </c>
      <c r="P117" s="296" t="s">
        <v>4664</v>
      </c>
      <c r="Q117" s="4">
        <v>13.58466333270778</v>
      </c>
      <c r="R117" s="4">
        <v>12.098199545738121</v>
      </c>
      <c r="S117" s="4">
        <v>-1.4864637869696626</v>
      </c>
      <c r="T117" s="3525" t="str">
        <f>IF(       0.635&lt;0.01,"***",IF(       0.635&lt;0.05,"**",IF(       0.635&lt;0.1,"*","NS")))</f>
        <v>NS</v>
      </c>
    </row>
    <row r="118" spans="1:20" x14ac:dyDescent="0.2">
      <c r="A118" s="296" t="s">
        <v>4579</v>
      </c>
      <c r="B118" s="4">
        <v>25.111482931608421</v>
      </c>
      <c r="C118" s="4">
        <v>17.502247154437111</v>
      </c>
      <c r="D118" s="4">
        <v>-7.6092357771712722</v>
      </c>
      <c r="E118" s="3526" t="str">
        <f>IF(       0.011&lt;0.01,"***",IF(       0.011&lt;0.05,"**",IF(       0.011&lt;0.1,"*","NS")))</f>
        <v>**</v>
      </c>
      <c r="G118" s="296" t="s">
        <v>4619</v>
      </c>
      <c r="H118" s="4">
        <v>25.111482931608421</v>
      </c>
      <c r="I118" s="4">
        <v>18.089138683712459</v>
      </c>
      <c r="J118" s="4">
        <v>-7.022344247895945</v>
      </c>
      <c r="K118" s="3527" t="str">
        <f>IF(       0.029&lt;0.01,"***",IF(       0.029&lt;0.05,"**",IF(       0.029&lt;0.1,"*","NS")))</f>
        <v>**</v>
      </c>
      <c r="L118" s="4">
        <v>16.50697162862199</v>
      </c>
      <c r="M118" s="4">
        <v>-8.6045113029864151</v>
      </c>
      <c r="N118" s="3528" t="str">
        <f>IF(       0.033&lt;0.01,"***",IF(       0.033&lt;0.05,"**",IF(       0.033&lt;0.1,"*","NS")))</f>
        <v>**</v>
      </c>
      <c r="P118" s="296" t="s">
        <v>4665</v>
      </c>
      <c r="Q118" s="4">
        <v>20.89410450216473</v>
      </c>
      <c r="R118" s="4">
        <v>16.50697162862199</v>
      </c>
      <c r="S118" s="4">
        <v>-4.3871328735427619</v>
      </c>
      <c r="T118" s="3529" t="str">
        <f>IF(       0.221&lt;0.01,"***",IF(       0.221&lt;0.05,"**",IF(       0.221&lt;0.1,"*","NS")))</f>
        <v>NS</v>
      </c>
    </row>
    <row r="119" spans="1:20" x14ac:dyDescent="0.2">
      <c r="A119" s="296" t="s">
        <v>4580</v>
      </c>
      <c r="B119" s="4">
        <v>10.354890595498979</v>
      </c>
      <c r="C119" s="4">
        <v>7.2759915361897667</v>
      </c>
      <c r="D119" s="4">
        <v>-3.0788990593092129</v>
      </c>
      <c r="E119" s="3530" t="str">
        <f>IF(       0.29&lt;0.01,"***",IF(       0.29&lt;0.05,"**",IF(       0.29&lt;0.1,"*","NS")))</f>
        <v>NS</v>
      </c>
      <c r="G119" s="296" t="s">
        <v>4620</v>
      </c>
      <c r="H119" s="4">
        <v>10.354890595498979</v>
      </c>
      <c r="I119" s="4">
        <v>8.6103115298553359</v>
      </c>
      <c r="J119" s="4">
        <v>-1.7445790656436415</v>
      </c>
      <c r="K119" s="3531" t="str">
        <f>IF(       0.518&lt;0.01,"***",IF(       0.518&lt;0.05,"**",IF(       0.518&lt;0.1,"*","NS")))</f>
        <v>NS</v>
      </c>
      <c r="L119" s="4">
        <v>4.2684063626395714</v>
      </c>
      <c r="M119" s="4">
        <v>-6.0864842328594086</v>
      </c>
      <c r="N119" s="3532" t="str">
        <f>IF(       0.154&lt;0.01,"***",IF(       0.154&lt;0.05,"**",IF(       0.154&lt;0.1,"*","NS")))</f>
        <v>NS</v>
      </c>
      <c r="P119" s="296" t="s">
        <v>4666</v>
      </c>
      <c r="Q119" s="4">
        <v>9.5197540287504392</v>
      </c>
      <c r="R119" s="4">
        <v>4.2684063626395714</v>
      </c>
      <c r="S119" s="4">
        <v>-5.2513476661108953</v>
      </c>
      <c r="T119" s="3533" t="str">
        <f>IF(       0.143&lt;0.01,"***",IF(       0.143&lt;0.05,"**",IF(       0.143&lt;0.1,"*","NS")))</f>
        <v>NS</v>
      </c>
    </row>
    <row r="120" spans="1:20" x14ac:dyDescent="0.2">
      <c r="A120" s="296" t="s">
        <v>4581</v>
      </c>
      <c r="B120" s="4">
        <v>16.401340437104281</v>
      </c>
      <c r="C120" s="4">
        <v>17.105571807984099</v>
      </c>
      <c r="D120" s="4">
        <v>0.70423137087981669</v>
      </c>
      <c r="E120" s="3534" t="str">
        <f>IF(       0.802&lt;0.01,"***",IF(       0.802&lt;0.05,"**",IF(       0.802&lt;0.1,"*","NS")))</f>
        <v>NS</v>
      </c>
      <c r="G120" s="296" t="s">
        <v>4621</v>
      </c>
      <c r="H120" s="4">
        <v>16.401340437104281</v>
      </c>
      <c r="I120" s="4">
        <v>16.429349617248182</v>
      </c>
      <c r="J120" s="4">
        <v>2.8009180143897382E-2</v>
      </c>
      <c r="K120" s="3535" t="str">
        <f>IF(       0.993&lt;0.01,"***",IF(       0.993&lt;0.05,"**",IF(       0.993&lt;0.1,"*","NS")))</f>
        <v>NS</v>
      </c>
      <c r="L120" s="4">
        <v>18.68057684032663</v>
      </c>
      <c r="M120" s="4">
        <v>2.2792364032223427</v>
      </c>
      <c r="N120" s="3536" t="str">
        <f>IF(       0.584&lt;0.01,"***",IF(       0.584&lt;0.05,"**",IF(       0.584&lt;0.1,"*","NS")))</f>
        <v>NS</v>
      </c>
      <c r="P120" s="296" t="s">
        <v>4667</v>
      </c>
      <c r="Q120" s="4">
        <v>16.416744816417111</v>
      </c>
      <c r="R120" s="4">
        <v>18.68057684032663</v>
      </c>
      <c r="S120" s="4">
        <v>2.2638320239095178</v>
      </c>
      <c r="T120" s="3537" t="str">
        <f>IF(       0.575&lt;0.01,"***",IF(       0.575&lt;0.05,"**",IF(       0.575&lt;0.1,"*","NS")))</f>
        <v>NS</v>
      </c>
    </row>
    <row r="121" spans="1:20" x14ac:dyDescent="0.2">
      <c r="A121" s="296" t="s">
        <v>4582</v>
      </c>
      <c r="B121" s="4">
        <v>17.119579131808031</v>
      </c>
      <c r="C121" s="4">
        <v>21.803582618799521</v>
      </c>
      <c r="D121" s="4">
        <v>4.6840034869915064</v>
      </c>
      <c r="E121" s="3538" t="str">
        <f>IF(       0.478&lt;0.01,"***",IF(       0.478&lt;0.05,"**",IF(       0.478&lt;0.1,"*","NS")))</f>
        <v>NS</v>
      </c>
      <c r="G121" s="296" t="s">
        <v>4622</v>
      </c>
      <c r="H121" s="4">
        <v>17.119579131808031</v>
      </c>
      <c r="I121" s="4">
        <v>23.667884023549661</v>
      </c>
      <c r="J121" s="4">
        <v>6.5483048917415942</v>
      </c>
      <c r="K121" s="3539" t="str">
        <f>IF(       0.349&lt;0.01,"***",IF(       0.349&lt;0.05,"**",IF(       0.349&lt;0.1,"*","NS")))</f>
        <v>NS</v>
      </c>
      <c r="L121" s="4">
        <v>15.981144803797219</v>
      </c>
      <c r="M121" s="4">
        <v>-1.1384343280108056</v>
      </c>
      <c r="N121" s="3540" t="str">
        <f>IF(       0.869&lt;0.01,"***",IF(       0.869&lt;0.05,"**",IF(       0.869&lt;0.1,"*","NS")))</f>
        <v>NS</v>
      </c>
      <c r="P121" s="296" t="s">
        <v>4668</v>
      </c>
      <c r="Q121" s="4">
        <v>21.012354054515669</v>
      </c>
      <c r="R121" s="4">
        <v>15.981144803797219</v>
      </c>
      <c r="S121" s="4">
        <v>-5.0312092507184314</v>
      </c>
      <c r="T121" s="3541" t="str">
        <f>IF(       0.354&lt;0.01,"***",IF(       0.354&lt;0.05,"**",IF(       0.354&lt;0.1,"*","NS")))</f>
        <v>NS</v>
      </c>
    </row>
    <row r="122" spans="1:20" x14ac:dyDescent="0.2">
      <c r="A122" s="296" t="s">
        <v>4583</v>
      </c>
      <c r="B122" s="4">
        <v>33.9438202240866</v>
      </c>
      <c r="C122" s="4">
        <v>34.758278349270768</v>
      </c>
      <c r="D122" s="4">
        <v>0.81445812518417782</v>
      </c>
      <c r="E122" s="3542" t="str">
        <f>IF(       0.883&lt;0.01,"***",IF(       0.883&lt;0.05,"**",IF(       0.883&lt;0.1,"*","NS")))</f>
        <v>NS</v>
      </c>
      <c r="G122" s="296" t="s">
        <v>4623</v>
      </c>
      <c r="H122" s="4">
        <v>33.9438202240866</v>
      </c>
      <c r="I122" s="4">
        <v>35.032299767726258</v>
      </c>
      <c r="J122" s="4">
        <v>1.0884795436396615</v>
      </c>
      <c r="K122" s="3543" t="str">
        <f>IF(       0.838&lt;0.01,"***",IF(       0.838&lt;0.05,"**",IF(       0.838&lt;0.1,"*","NS")))</f>
        <v>NS</v>
      </c>
      <c r="L122" s="4">
        <v>34.186107297151423</v>
      </c>
      <c r="M122" s="4">
        <v>0.24228707306482644</v>
      </c>
      <c r="N122" s="3544" t="str">
        <f>IF(       0.975&lt;0.01,"***",IF(       0.975&lt;0.05,"**",IF(       0.975&lt;0.1,"*","NS")))</f>
        <v>NS</v>
      </c>
      <c r="P122" s="296" t="s">
        <v>4669</v>
      </c>
      <c r="Q122" s="4">
        <v>34.570529876673532</v>
      </c>
      <c r="R122" s="4">
        <v>34.186107297151423</v>
      </c>
      <c r="S122" s="4">
        <v>-0.38442257952209558</v>
      </c>
      <c r="T122" s="3545" t="str">
        <f>IF(       0.953&lt;0.01,"***",IF(       0.953&lt;0.05,"**",IF(       0.953&lt;0.1,"*","NS")))</f>
        <v>NS</v>
      </c>
    </row>
    <row r="123" spans="1:20" x14ac:dyDescent="0.2">
      <c r="A123" s="296" t="s">
        <v>4584</v>
      </c>
      <c r="B123" s="4" t="s">
        <v>6067</v>
      </c>
      <c r="C123" s="4" t="s">
        <v>6067</v>
      </c>
      <c r="D123" s="4" t="s">
        <v>6067</v>
      </c>
      <c r="E123" s="4" t="s">
        <v>6067</v>
      </c>
      <c r="G123" s="296" t="s">
        <v>4624</v>
      </c>
      <c r="H123" s="4" t="s">
        <v>6067</v>
      </c>
      <c r="I123" s="4" t="s">
        <v>6067</v>
      </c>
      <c r="J123" s="4" t="s">
        <v>6067</v>
      </c>
      <c r="K123" s="4" t="s">
        <v>6067</v>
      </c>
      <c r="L123" s="4" t="s">
        <v>6067</v>
      </c>
      <c r="M123" s="4" t="s">
        <v>6067</v>
      </c>
      <c r="N123" s="4" t="s">
        <v>6067</v>
      </c>
      <c r="P123" s="296" t="s">
        <v>4670</v>
      </c>
      <c r="Q123" s="4" t="s">
        <v>6067</v>
      </c>
      <c r="R123" s="4" t="s">
        <v>6067</v>
      </c>
      <c r="S123" s="4" t="s">
        <v>6067</v>
      </c>
      <c r="T123" s="4" t="s">
        <v>6067</v>
      </c>
    </row>
    <row r="124" spans="1:20" x14ac:dyDescent="0.2">
      <c r="A124" s="296" t="s">
        <v>4585</v>
      </c>
      <c r="B124" s="4">
        <v>1.4547992362469699</v>
      </c>
      <c r="C124" s="4">
        <v>2.7946301794175969</v>
      </c>
      <c r="D124" s="4">
        <v>1.3398309431706263</v>
      </c>
      <c r="E124" s="3546" t="str">
        <f>IF(       0.138&lt;0.01,"***",IF(       0.138&lt;0.05,"**",IF(       0.138&lt;0.1,"*","NS")))</f>
        <v>NS</v>
      </c>
      <c r="G124" s="296" t="s">
        <v>4625</v>
      </c>
      <c r="H124" s="4">
        <v>1.4547992362469699</v>
      </c>
      <c r="I124" s="4">
        <v>2.970144017071437</v>
      </c>
      <c r="J124" s="4">
        <v>1.5153447808244584</v>
      </c>
      <c r="K124" s="3547" t="str">
        <f>IF(       0.057&lt;0.01,"***",IF(       0.057&lt;0.05,"**",IF(       0.057&lt;0.1,"*","NS")))</f>
        <v>*</v>
      </c>
      <c r="L124" s="4">
        <v>2.3326151198065479</v>
      </c>
      <c r="M124" s="4">
        <v>0.87781588355957996</v>
      </c>
      <c r="N124" s="3548" t="str">
        <f>IF(       0.588&lt;0.01,"***",IF(       0.588&lt;0.05,"**",IF(       0.588&lt;0.1,"*","NS")))</f>
        <v>NS</v>
      </c>
      <c r="P124" s="296" t="s">
        <v>4671</v>
      </c>
      <c r="Q124" s="4">
        <v>2.0824314438872111</v>
      </c>
      <c r="R124" s="4">
        <v>2.3326151198065479</v>
      </c>
      <c r="S124" s="4">
        <v>0.25018367591933927</v>
      </c>
      <c r="T124" s="3549" t="str">
        <f>IF(       0.864&lt;0.01,"***",IF(       0.864&lt;0.05,"**",IF(       0.864&lt;0.1,"*","NS")))</f>
        <v>NS</v>
      </c>
    </row>
    <row r="125" spans="1:20" x14ac:dyDescent="0.2">
      <c r="A125" s="296" t="s">
        <v>4586</v>
      </c>
      <c r="B125" s="4">
        <v>24.982829968863658</v>
      </c>
      <c r="C125" s="4">
        <v>17.89792530574535</v>
      </c>
      <c r="D125" s="4">
        <v>-7.0849046631183494</v>
      </c>
      <c r="E125" s="3550" t="str">
        <f>IF(       0.1&lt;0.01,"***",IF(       0.1&lt;0.05,"**",IF(       0.1&lt;0.1,"*","NS")))</f>
        <v>NS</v>
      </c>
      <c r="G125" s="296" t="s">
        <v>4626</v>
      </c>
      <c r="H125" s="4">
        <v>24.982829968863658</v>
      </c>
      <c r="I125" s="4">
        <v>18.939297268857121</v>
      </c>
      <c r="J125" s="4">
        <v>-6.0435327000065282</v>
      </c>
      <c r="K125" s="3551" t="str">
        <f>IF(       0.265&lt;0.01,"***",IF(       0.265&lt;0.05,"**",IF(       0.265&lt;0.1,"*","NS")))</f>
        <v>NS</v>
      </c>
      <c r="L125" s="4">
        <v>16.772001211932619</v>
      </c>
      <c r="M125" s="4">
        <v>-8.2108287569310576</v>
      </c>
      <c r="N125" s="3552" t="str">
        <f>IF(       0.04&lt;0.01,"***",IF(       0.04&lt;0.05,"**",IF(       0.04&lt;0.1,"*","NS")))</f>
        <v>**</v>
      </c>
      <c r="P125" s="296" t="s">
        <v>4672</v>
      </c>
      <c r="Q125" s="4">
        <v>20.95012933516416</v>
      </c>
      <c r="R125" s="4">
        <v>16.772001211932619</v>
      </c>
      <c r="S125" s="4">
        <v>-4.1781281232315228</v>
      </c>
      <c r="T125" s="3553" t="str">
        <f>IF(       0.198&lt;0.01,"***",IF(       0.198&lt;0.05,"**",IF(       0.198&lt;0.1,"*","NS")))</f>
        <v>NS</v>
      </c>
    </row>
    <row r="126" spans="1:20" x14ac:dyDescent="0.2">
      <c r="A126" s="296" t="s">
        <v>4587</v>
      </c>
      <c r="B126" s="4">
        <v>15.546290996443419</v>
      </c>
      <c r="C126" s="4">
        <v>9.9972404212330801</v>
      </c>
      <c r="D126" s="4">
        <v>-5.549050575210333</v>
      </c>
      <c r="E126" s="3554" t="str">
        <f>IF(       0.048&lt;0.01,"***",IF(       0.048&lt;0.05,"**",IF(       0.048&lt;0.1,"*","NS")))</f>
        <v>**</v>
      </c>
      <c r="G126" s="296" t="s">
        <v>4627</v>
      </c>
      <c r="H126" s="4">
        <v>15.546290996443419</v>
      </c>
      <c r="I126" s="4">
        <v>11.138061829037101</v>
      </c>
      <c r="J126" s="4">
        <v>-4.4082291674063159</v>
      </c>
      <c r="K126" s="3555" t="str">
        <f>IF(       0.151&lt;0.01,"***",IF(       0.151&lt;0.05,"**",IF(       0.151&lt;0.1,"*","NS")))</f>
        <v>NS</v>
      </c>
      <c r="L126" s="4">
        <v>8.0532617812024441</v>
      </c>
      <c r="M126" s="4">
        <v>-7.4930292152409708</v>
      </c>
      <c r="N126" s="3556" t="str">
        <f>IF(       0.01&lt;0.01,"***",IF(       0.01&lt;0.05,"**",IF(       0.01&lt;0.1,"*","NS")))</f>
        <v>**</v>
      </c>
      <c r="P126" s="296" t="s">
        <v>4673</v>
      </c>
      <c r="Q126" s="4">
        <v>12.615410290318669</v>
      </c>
      <c r="R126" s="4">
        <v>8.0532617812024441</v>
      </c>
      <c r="S126" s="4">
        <v>-4.5621485091162315</v>
      </c>
      <c r="T126" s="3557" t="str">
        <f>IF(       0.028&lt;0.01,"***",IF(       0.028&lt;0.05,"**",IF(       0.028&lt;0.1,"*","NS")))</f>
        <v>**</v>
      </c>
    </row>
    <row r="127" spans="1:20" x14ac:dyDescent="0.2">
      <c r="A127" s="296" t="s">
        <v>4588</v>
      </c>
      <c r="B127" s="4">
        <v>50.161156800875908</v>
      </c>
      <c r="C127" s="4">
        <v>43.418949572664317</v>
      </c>
      <c r="D127" s="4">
        <v>-6.742207228211571</v>
      </c>
      <c r="E127" s="3558" t="str">
        <f>IF(       0.086&lt;0.01,"***",IF(       0.086&lt;0.05,"**",IF(       0.086&lt;0.1,"*","NS")))</f>
        <v>*</v>
      </c>
      <c r="G127" s="296" t="s">
        <v>4628</v>
      </c>
      <c r="H127" s="4">
        <v>50.161156800875908</v>
      </c>
      <c r="I127" s="4">
        <v>39.683547475972958</v>
      </c>
      <c r="J127" s="4">
        <v>-10.477609324902941</v>
      </c>
      <c r="K127" s="3559" t="str">
        <f>IF(       0.004&lt;0.01,"***",IF(       0.004&lt;0.05,"**",IF(       0.004&lt;0.1,"*","NS")))</f>
        <v>***</v>
      </c>
      <c r="L127" s="4">
        <v>50.914537926544533</v>
      </c>
      <c r="M127" s="4">
        <v>0.75338112566861826</v>
      </c>
      <c r="N127" s="3560" t="str">
        <f>IF(       0.896&lt;0.01,"***",IF(       0.896&lt;0.05,"**",IF(       0.896&lt;0.1,"*","NS")))</f>
        <v>NS</v>
      </c>
      <c r="P127" s="296" t="s">
        <v>4674</v>
      </c>
      <c r="Q127" s="4">
        <v>44.094345869385663</v>
      </c>
      <c r="R127" s="4">
        <v>50.914537926544533</v>
      </c>
      <c r="S127" s="4">
        <v>6.8201920571588763</v>
      </c>
      <c r="T127" s="3561" t="str">
        <f>IF(       0.16&lt;0.01,"***",IF(       0.16&lt;0.05,"**",IF(       0.16&lt;0.1,"*","NS")))</f>
        <v>NS</v>
      </c>
    </row>
    <row r="128" spans="1:20" x14ac:dyDescent="0.2">
      <c r="A128" s="296" t="s">
        <v>4589</v>
      </c>
      <c r="B128" s="4">
        <v>51.60043226538685</v>
      </c>
      <c r="C128" s="4">
        <v>39.934207704530401</v>
      </c>
      <c r="D128" s="4">
        <v>-11.666224560856419</v>
      </c>
      <c r="E128" s="3562" t="str">
        <f>IF(       0.033&lt;0.01,"***",IF(       0.033&lt;0.05,"**",IF(       0.033&lt;0.1,"*","NS")))</f>
        <v>**</v>
      </c>
      <c r="G128" s="296" t="s">
        <v>4629</v>
      </c>
      <c r="H128" s="4">
        <v>51.60043226538685</v>
      </c>
      <c r="I128" s="4">
        <v>42.710092386945533</v>
      </c>
      <c r="J128" s="4">
        <v>-8.8903398784412886</v>
      </c>
      <c r="K128" s="3563" t="str">
        <f>IF(       0.099&lt;0.01,"***",IF(       0.099&lt;0.05,"**",IF(       0.099&lt;0.1,"*","NS")))</f>
        <v>*</v>
      </c>
      <c r="L128" s="4">
        <v>34.832213573641582</v>
      </c>
      <c r="M128" s="4">
        <v>-16.768218691745282</v>
      </c>
      <c r="N128" s="3564" t="str">
        <f>IF(       0.018&lt;0.01,"***",IF(       0.018&lt;0.05,"**",IF(       0.018&lt;0.1,"*","NS")))</f>
        <v>**</v>
      </c>
      <c r="P128" s="296" t="s">
        <v>4675</v>
      </c>
      <c r="Q128" s="4">
        <v>46.606989987586552</v>
      </c>
      <c r="R128" s="4">
        <v>34.832213573641582</v>
      </c>
      <c r="S128" s="4">
        <v>-11.774776413945</v>
      </c>
      <c r="T128" s="3565" t="str">
        <f>IF(       0.036&lt;0.01,"***",IF(       0.036&lt;0.05,"**",IF(       0.036&lt;0.1,"*","NS")))</f>
        <v>**</v>
      </c>
    </row>
    <row r="129" spans="1:20" x14ac:dyDescent="0.2">
      <c r="A129" s="296" t="s">
        <v>4590</v>
      </c>
      <c r="B129" s="4">
        <v>19.040837513481819</v>
      </c>
      <c r="C129" s="4">
        <v>21.582965615280362</v>
      </c>
      <c r="D129" s="4">
        <v>2.5421281017985473</v>
      </c>
      <c r="E129" s="3566" t="str">
        <f>IF(       0.506&lt;0.01,"***",IF(       0.506&lt;0.05,"**",IF(       0.506&lt;0.1,"*","NS")))</f>
        <v>NS</v>
      </c>
      <c r="G129" s="296" t="s">
        <v>4630</v>
      </c>
      <c r="H129" s="4">
        <v>19.040837513481819</v>
      </c>
      <c r="I129" s="4">
        <v>20.06186928106683</v>
      </c>
      <c r="J129" s="4">
        <v>1.0210317675850191</v>
      </c>
      <c r="K129" s="3567" t="str">
        <f>IF(       0.773&lt;0.01,"***",IF(       0.773&lt;0.05,"**",IF(       0.773&lt;0.1,"*","NS")))</f>
        <v>NS</v>
      </c>
      <c r="L129" s="4">
        <v>25.480104345544952</v>
      </c>
      <c r="M129" s="4">
        <v>6.4392668320631401</v>
      </c>
      <c r="N129" s="3568" t="str">
        <f>IF(       0.322&lt;0.01,"***",IF(       0.322&lt;0.05,"**",IF(       0.322&lt;0.1,"*","NS")))</f>
        <v>NS</v>
      </c>
      <c r="P129" s="296" t="s">
        <v>4676</v>
      </c>
      <c r="Q129" s="4">
        <v>19.580311827650039</v>
      </c>
      <c r="R129" s="4">
        <v>25.480104345544952</v>
      </c>
      <c r="S129" s="4">
        <v>5.8997925178949204</v>
      </c>
      <c r="T129" s="3569" t="str">
        <f>IF(       0.309&lt;0.01,"***",IF(       0.309&lt;0.05,"**",IF(       0.309&lt;0.1,"*","NS")))</f>
        <v>NS</v>
      </c>
    </row>
    <row r="130" spans="1:20" x14ac:dyDescent="0.2">
      <c r="A130" s="296" t="s">
        <v>4591</v>
      </c>
      <c r="B130" s="4">
        <v>17.68068716251841</v>
      </c>
      <c r="C130" s="4">
        <v>12.30986749598646</v>
      </c>
      <c r="D130" s="4">
        <v>-5.3708196665319363</v>
      </c>
      <c r="E130" s="3570" t="str">
        <f>IF(       0.05&lt;0.01,"***",IF(       0.05&lt;0.05,"**",IF(       0.05&lt;0.1,"*","NS")))</f>
        <v>*</v>
      </c>
      <c r="G130" s="296" t="s">
        <v>4631</v>
      </c>
      <c r="H130" s="4">
        <v>17.68068716251841</v>
      </c>
      <c r="I130" s="4">
        <v>12.903235944244781</v>
      </c>
      <c r="J130" s="4">
        <v>-4.7774512182736313</v>
      </c>
      <c r="K130" s="3571" t="str">
        <f>IF(       0.138&lt;0.01,"***",IF(       0.138&lt;0.05,"**",IF(       0.138&lt;0.1,"*","NS")))</f>
        <v>NS</v>
      </c>
      <c r="L130" s="4">
        <v>11.58923951956325</v>
      </c>
      <c r="M130" s="4">
        <v>-6.0914476429551634</v>
      </c>
      <c r="N130" s="3572" t="str">
        <f>IF(       0.032&lt;0.01,"***",IF(       0.032&lt;0.05,"**",IF(       0.032&lt;0.1,"*","NS")))</f>
        <v>**</v>
      </c>
      <c r="P130" s="296" t="s">
        <v>4677</v>
      </c>
      <c r="Q130" s="4">
        <v>14.627451354925389</v>
      </c>
      <c r="R130" s="4">
        <v>11.58923951956325</v>
      </c>
      <c r="S130" s="4">
        <v>-3.0382118353621479</v>
      </c>
      <c r="T130" s="3573" t="str">
        <f>IF(       0.184&lt;0.01,"***",IF(       0.184&lt;0.05,"**",IF(       0.184&lt;0.1,"*","NS")))</f>
        <v>NS</v>
      </c>
    </row>
    <row r="131" spans="1:20" x14ac:dyDescent="0.2">
      <c r="A131" s="296" t="s">
        <v>4592</v>
      </c>
      <c r="B131" s="4">
        <v>7.5503567651508048</v>
      </c>
      <c r="C131" s="4">
        <v>6.3293493515363792</v>
      </c>
      <c r="D131" s="4">
        <v>-1.2210074136144315</v>
      </c>
      <c r="E131" s="3574" t="str">
        <f>IF(       0.536&lt;0.01,"***",IF(       0.536&lt;0.05,"**",IF(       0.536&lt;0.1,"*","NS")))</f>
        <v>NS</v>
      </c>
      <c r="G131" s="296" t="s">
        <v>4632</v>
      </c>
      <c r="H131" s="4">
        <v>7.5503567651508048</v>
      </c>
      <c r="I131" s="4">
        <v>6.6175452545834466</v>
      </c>
      <c r="J131" s="4">
        <v>-0.93281151056735456</v>
      </c>
      <c r="K131" s="3575" t="str">
        <f>IF(       0.606&lt;0.01,"***",IF(       0.606&lt;0.05,"**",IF(       0.606&lt;0.1,"*","NS")))</f>
        <v>NS</v>
      </c>
      <c r="L131" s="4">
        <v>5.7568812984192146</v>
      </c>
      <c r="M131" s="4">
        <v>-1.7934754667315904</v>
      </c>
      <c r="N131" s="3576" t="str">
        <f>IF(       0.56&lt;0.01,"***",IF(       0.56&lt;0.05,"**",IF(       0.56&lt;0.1,"*","NS")))</f>
        <v>NS</v>
      </c>
      <c r="P131" s="296" t="s">
        <v>4678</v>
      </c>
      <c r="Q131" s="4">
        <v>7.0540633280131662</v>
      </c>
      <c r="R131" s="4">
        <v>5.7568812984192146</v>
      </c>
      <c r="S131" s="4">
        <v>-1.2971820295939551</v>
      </c>
      <c r="T131" s="3577" t="str">
        <f>IF(       0.627&lt;0.01,"***",IF(       0.627&lt;0.05,"**",IF(       0.627&lt;0.1,"*","NS")))</f>
        <v>NS</v>
      </c>
    </row>
    <row r="132" spans="1:20" x14ac:dyDescent="0.2">
      <c r="A132" s="296" t="s">
        <v>5835</v>
      </c>
      <c r="B132" s="4">
        <v>26.416168955071068</v>
      </c>
      <c r="C132" s="4">
        <v>22.780754408039389</v>
      </c>
      <c r="D132" s="4">
        <v>-3.6354145470316901</v>
      </c>
      <c r="E132" s="3578" t="str">
        <f>IF(       0.004&lt;0.01,"***",IF(       0.004&lt;0.05,"**",IF(       0.004&lt;0.1,"*","NS")))</f>
        <v>***</v>
      </c>
      <c r="G132" s="296" t="s">
        <v>5835</v>
      </c>
      <c r="H132" s="4">
        <v>26.416168955071068</v>
      </c>
      <c r="I132" s="4">
        <v>23.24151259648162</v>
      </c>
      <c r="J132" s="4">
        <v>-3.1746563585894743</v>
      </c>
      <c r="K132" s="3579" t="str">
        <f>IF(       0.013&lt;0.01,"***",IF(       0.013&lt;0.05,"**",IF(       0.013&lt;0.1,"*","NS")))</f>
        <v>**</v>
      </c>
      <c r="L132" s="4">
        <v>21.899192129234859</v>
      </c>
      <c r="M132" s="4">
        <v>-4.5169768258362097</v>
      </c>
      <c r="N132" s="3580" t="str">
        <f>IF(       0.006&lt;0.01,"***",IF(       0.006&lt;0.05,"**",IF(       0.006&lt;0.1,"*","NS")))</f>
        <v>***</v>
      </c>
      <c r="P132" s="296" t="s">
        <v>5835</v>
      </c>
      <c r="Q132" s="4">
        <v>24.613234876224499</v>
      </c>
      <c r="R132" s="4">
        <v>21.899192129234859</v>
      </c>
      <c r="S132" s="4">
        <v>-2.7140427469896662</v>
      </c>
      <c r="T132" s="3581" t="str">
        <f>IF(       0.043&lt;0.01,"***",IF(       0.043&lt;0.05,"**",IF(       0.043&lt;0.1,"*","NS")))</f>
        <v>**</v>
      </c>
    </row>
  </sheetData>
  <pageMargins left="0.7" right="0.7" top="0.75" bottom="0.75" header="0.3" footer="0.3"/>
  <tableParts count="21">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132"/>
  <sheetViews>
    <sheetView zoomScaleNormal="100" workbookViewId="0">
      <selection activeCell="D14" sqref="D14"/>
    </sheetView>
  </sheetViews>
  <sheetFormatPr baseColWidth="10" defaultColWidth="8.83203125" defaultRowHeight="15" x14ac:dyDescent="0.2"/>
  <cols>
    <col min="1" max="1" width="9.33203125" style="296" customWidth="1"/>
    <col min="2" max="5" width="15.83203125" style="4" customWidth="1"/>
    <col min="6" max="6" width="8.83203125" style="4"/>
    <col min="7" max="7" width="15.83203125" style="296" customWidth="1"/>
    <col min="8" max="14" width="15.83203125" style="4" customWidth="1"/>
    <col min="15" max="15" width="8.83203125" style="4"/>
    <col min="16" max="16" width="15.83203125" style="296" customWidth="1"/>
    <col min="17" max="20" width="15.83203125" style="4" customWidth="1"/>
    <col min="21" max="16384" width="8.83203125" style="4"/>
  </cols>
  <sheetData>
    <row r="1" spans="1:20" x14ac:dyDescent="0.2">
      <c r="A1" s="296" t="s">
        <v>1962</v>
      </c>
      <c r="G1" s="296" t="s">
        <v>2066</v>
      </c>
      <c r="P1" s="296" t="s">
        <v>2185</v>
      </c>
    </row>
    <row r="2" spans="1:20" s="3" customFormat="1" x14ac:dyDescent="0.2">
      <c r="A2" s="5874" t="s">
        <v>1963</v>
      </c>
      <c r="B2" s="5875" t="s">
        <v>1964</v>
      </c>
      <c r="C2" s="5876" t="s">
        <v>1965</v>
      </c>
      <c r="D2" s="5877" t="s">
        <v>1966</v>
      </c>
      <c r="E2" s="5878" t="s">
        <v>1967</v>
      </c>
      <c r="G2" s="5879" t="s">
        <v>2067</v>
      </c>
      <c r="H2" s="5880" t="s">
        <v>2068</v>
      </c>
      <c r="I2" s="5881" t="s">
        <v>2069</v>
      </c>
      <c r="J2" s="5882" t="s">
        <v>2070</v>
      </c>
      <c r="K2" s="5883" t="s">
        <v>2071</v>
      </c>
      <c r="L2" s="5884" t="s">
        <v>2170</v>
      </c>
      <c r="M2" s="5885" t="s">
        <v>2171</v>
      </c>
      <c r="N2" s="5886" t="s">
        <v>2172</v>
      </c>
      <c r="P2" s="5887" t="s">
        <v>2186</v>
      </c>
      <c r="Q2" s="5888" t="s">
        <v>2187</v>
      </c>
      <c r="R2" s="5889" t="s">
        <v>2188</v>
      </c>
      <c r="S2" s="5890" t="s">
        <v>2189</v>
      </c>
      <c r="T2" s="5891" t="s">
        <v>2190</v>
      </c>
    </row>
    <row r="3" spans="1:20" x14ac:dyDescent="0.2">
      <c r="A3" s="296" t="s">
        <v>1968</v>
      </c>
      <c r="B3" s="4">
        <v>13.735115814525621</v>
      </c>
      <c r="C3" s="4">
        <v>8.8134612770606005</v>
      </c>
      <c r="D3" s="4">
        <v>-4.9216545374650815</v>
      </c>
      <c r="E3" s="2814" t="str">
        <f>IF(       0&lt;0.01,"***",IF(       0&lt;0.05,"**",IF(       0&lt;0.1,"*","NS")))</f>
        <v>***</v>
      </c>
      <c r="G3" s="296" t="s">
        <v>2072</v>
      </c>
      <c r="H3" s="4">
        <v>13.735115814525621</v>
      </c>
      <c r="I3" s="4">
        <v>9.1603782494867865</v>
      </c>
      <c r="J3" s="4">
        <v>-4.5747375650388253</v>
      </c>
      <c r="K3" s="2815" t="str">
        <f>IF(       0.004&lt;0.01,"***",IF(       0.004&lt;0.05,"**",IF(       0.004&lt;0.1,"*","NS")))</f>
        <v>***</v>
      </c>
      <c r="L3" s="4">
        <v>7.460184100775475</v>
      </c>
      <c r="M3" s="4">
        <v>-6.2749317137501608</v>
      </c>
      <c r="N3" s="2816" t="str">
        <f>IF(       0.002&lt;0.01,"***",IF(       0.002&lt;0.05,"**",IF(       0.002&lt;0.1,"*","NS")))</f>
        <v>***</v>
      </c>
      <c r="P3" s="296" t="s">
        <v>2191</v>
      </c>
      <c r="Q3" s="4">
        <v>12.097167456772469</v>
      </c>
      <c r="R3" s="4">
        <v>7.460184100775475</v>
      </c>
      <c r="S3" s="4">
        <v>-4.6369833559970504</v>
      </c>
      <c r="T3" s="2817" t="str">
        <f>IF(       0.019&lt;0.01,"***",IF(       0.019&lt;0.05,"**",IF(       0.019&lt;0.1,"*","NS")))</f>
        <v>**</v>
      </c>
    </row>
    <row r="4" spans="1:20" x14ac:dyDescent="0.2">
      <c r="A4" s="296" t="s">
        <v>1969</v>
      </c>
      <c r="B4" s="4">
        <v>35.700970785212569</v>
      </c>
      <c r="C4" s="4">
        <v>25.889719659829531</v>
      </c>
      <c r="D4" s="4">
        <v>-9.811251125382892</v>
      </c>
      <c r="E4" s="2818" t="str">
        <f>IF(       0&lt;0.01,"***",IF(       0&lt;0.05,"**",IF(       0&lt;0.1,"*","NS")))</f>
        <v>***</v>
      </c>
      <c r="G4" s="296" t="s">
        <v>2073</v>
      </c>
      <c r="H4" s="4">
        <v>35.700970785212569</v>
      </c>
      <c r="I4" s="4">
        <v>25.60448855550904</v>
      </c>
      <c r="J4" s="4">
        <v>-10.096482229703449</v>
      </c>
      <c r="K4" s="2819" t="str">
        <f>IF(       0&lt;0.01,"***",IF(       0&lt;0.05,"**",IF(       0&lt;0.1,"*","NS")))</f>
        <v>***</v>
      </c>
      <c r="L4" s="4">
        <v>26.637401974787149</v>
      </c>
      <c r="M4" s="4">
        <v>-9.0635688104253695</v>
      </c>
      <c r="N4" s="2820" t="str">
        <f>IF(       0.015&lt;0.01,"***",IF(       0.015&lt;0.05,"**",IF(       0.015&lt;0.1,"*","NS")))</f>
        <v>**</v>
      </c>
      <c r="P4" s="296" t="s">
        <v>2192</v>
      </c>
      <c r="Q4" s="4">
        <v>32.79366078043487</v>
      </c>
      <c r="R4" s="4">
        <v>26.637401974787149</v>
      </c>
      <c r="S4" s="4">
        <v>-6.156258805647818</v>
      </c>
      <c r="T4" s="2821" t="str">
        <f>IF(       0.079&lt;0.01,"***",IF(       0.079&lt;0.05,"**",IF(       0.079&lt;0.1,"*","NS")))</f>
        <v>*</v>
      </c>
    </row>
    <row r="5" spans="1:20" x14ac:dyDescent="0.2">
      <c r="A5" s="296" t="s">
        <v>1970</v>
      </c>
      <c r="B5" s="4">
        <v>16.84433397029321</v>
      </c>
      <c r="C5" s="4">
        <v>11.42625554961794</v>
      </c>
      <c r="D5" s="4">
        <v>-5.4180784206752506</v>
      </c>
      <c r="E5" s="2822" t="str">
        <f>IF(       0.042&lt;0.01,"***",IF(       0.042&lt;0.05,"**",IF(       0.042&lt;0.1,"*","NS")))</f>
        <v>**</v>
      </c>
      <c r="G5" s="296" t="s">
        <v>2074</v>
      </c>
      <c r="H5" s="4">
        <v>16.84433397029321</v>
      </c>
      <c r="I5" s="4">
        <v>13.087019188933761</v>
      </c>
      <c r="J5" s="4">
        <v>-3.757314781359518</v>
      </c>
      <c r="K5" s="2823" t="str">
        <f>IF(       0.117&lt;0.01,"***",IF(       0.117&lt;0.05,"**",IF(       0.117&lt;0.1,"*","NS")))</f>
        <v>NS</v>
      </c>
      <c r="L5" s="4">
        <v>6.4216389485123502</v>
      </c>
      <c r="M5" s="4">
        <v>-10.422695021780676</v>
      </c>
      <c r="N5" s="2824" t="str">
        <f>IF(       0.012&lt;0.01,"***",IF(       0.012&lt;0.05,"**",IF(       0.012&lt;0.1,"*","NS")))</f>
        <v>**</v>
      </c>
      <c r="P5" s="296" t="s">
        <v>2193</v>
      </c>
      <c r="Q5" s="4">
        <v>15.954645137799879</v>
      </c>
      <c r="R5" s="4">
        <v>6.4216389485123502</v>
      </c>
      <c r="S5" s="4">
        <v>-9.5330061892874376</v>
      </c>
      <c r="T5" s="2825" t="str">
        <f>IF(       0.011&lt;0.01,"***",IF(       0.011&lt;0.05,"**",IF(       0.011&lt;0.1,"*","NS")))</f>
        <v>**</v>
      </c>
    </row>
    <row r="6" spans="1:20" x14ac:dyDescent="0.2">
      <c r="A6" s="296" t="s">
        <v>1971</v>
      </c>
      <c r="B6" s="4">
        <v>12.461595868979551</v>
      </c>
      <c r="C6" s="4">
        <v>8.8618871734897784</v>
      </c>
      <c r="D6" s="4">
        <v>-3.5997086954897579</v>
      </c>
      <c r="E6" s="2826" t="str">
        <f>IF(       0.009&lt;0.01,"***",IF(       0.009&lt;0.05,"**",IF(       0.009&lt;0.1,"*","NS")))</f>
        <v>***</v>
      </c>
      <c r="G6" s="296" t="s">
        <v>2075</v>
      </c>
      <c r="H6" s="4">
        <v>12.461595868979551</v>
      </c>
      <c r="I6" s="4">
        <v>8.9171492879601537</v>
      </c>
      <c r="J6" s="4">
        <v>-3.5444465810193595</v>
      </c>
      <c r="K6" s="2827" t="str">
        <f>IF(       0.012&lt;0.01,"***",IF(       0.012&lt;0.05,"**",IF(       0.012&lt;0.1,"*","NS")))</f>
        <v>**</v>
      </c>
      <c r="L6" s="4">
        <v>8.6527235860853313</v>
      </c>
      <c r="M6" s="4">
        <v>-3.8088722828942481</v>
      </c>
      <c r="N6" s="2828" t="str">
        <f>IF(       0.223&lt;0.01,"***",IF(       0.223&lt;0.05,"**",IF(       0.223&lt;0.1,"*","NS")))</f>
        <v>NS</v>
      </c>
      <c r="P6" s="296" t="s">
        <v>2194</v>
      </c>
      <c r="Q6" s="4">
        <v>11.42371637529194</v>
      </c>
      <c r="R6" s="4">
        <v>8.6527235860853313</v>
      </c>
      <c r="S6" s="4">
        <v>-2.770992789206566</v>
      </c>
      <c r="T6" s="2829" t="str">
        <f>IF(       0.373&lt;0.01,"***",IF(       0.373&lt;0.05,"**",IF(       0.373&lt;0.1,"*","NS")))</f>
        <v>NS</v>
      </c>
    </row>
    <row r="7" spans="1:20" x14ac:dyDescent="0.2">
      <c r="A7" s="296" t="s">
        <v>1972</v>
      </c>
      <c r="B7" s="4">
        <v>37.030240382237203</v>
      </c>
      <c r="C7" s="4">
        <v>28.003850677947131</v>
      </c>
      <c r="D7" s="4">
        <v>-9.0263897042903345</v>
      </c>
      <c r="E7" s="2830" t="str">
        <f>IF(       0&lt;0.01,"***",IF(       0&lt;0.05,"**",IF(       0&lt;0.1,"*","NS")))</f>
        <v>***</v>
      </c>
      <c r="G7" s="296" t="s">
        <v>2076</v>
      </c>
      <c r="H7" s="4">
        <v>37.030240382237203</v>
      </c>
      <c r="I7" s="4">
        <v>29.499660722697119</v>
      </c>
      <c r="J7" s="4">
        <v>-7.5305796595401207</v>
      </c>
      <c r="K7" s="2831" t="str">
        <f>IF(       0.002&lt;0.01,"***",IF(       0.002&lt;0.05,"**",IF(       0.002&lt;0.1,"*","NS")))</f>
        <v>***</v>
      </c>
      <c r="L7" s="4">
        <v>20.922298151082799</v>
      </c>
      <c r="M7" s="4">
        <v>-16.107942231154471</v>
      </c>
      <c r="N7" s="2832" t="str">
        <f>IF(       0.002&lt;0.01,"***",IF(       0.002&lt;0.05,"**",IF(       0.002&lt;0.1,"*","NS")))</f>
        <v>***</v>
      </c>
      <c r="P7" s="296" t="s">
        <v>2195</v>
      </c>
      <c r="Q7" s="4">
        <v>35.040752342130219</v>
      </c>
      <c r="R7" s="4">
        <v>20.922298151082799</v>
      </c>
      <c r="S7" s="4">
        <v>-14.118454191047544</v>
      </c>
      <c r="T7" s="2833" t="str">
        <f>IF(       0.005&lt;0.01,"***",IF(       0.005&lt;0.05,"**",IF(       0.005&lt;0.1,"*","NS")))</f>
        <v>***</v>
      </c>
    </row>
    <row r="8" spans="1:20" x14ac:dyDescent="0.2">
      <c r="A8" s="296" t="s">
        <v>1973</v>
      </c>
      <c r="B8" s="4">
        <v>28.272363321788809</v>
      </c>
      <c r="C8" s="4">
        <v>21.768870118461269</v>
      </c>
      <c r="D8" s="4">
        <v>-6.5034932033275341</v>
      </c>
      <c r="E8" s="2834" t="str">
        <f>IF(       0.001&lt;0.01,"***",IF(       0.001&lt;0.05,"**",IF(       0.001&lt;0.1,"*","NS")))</f>
        <v>***</v>
      </c>
      <c r="G8" s="296" t="s">
        <v>2077</v>
      </c>
      <c r="H8" s="4">
        <v>28.272363321788809</v>
      </c>
      <c r="I8" s="4">
        <v>22.320065937307891</v>
      </c>
      <c r="J8" s="4">
        <v>-5.9522973844809561</v>
      </c>
      <c r="K8" s="2835" t="str">
        <f>IF(       0.003&lt;0.01,"***",IF(       0.003&lt;0.05,"**",IF(       0.003&lt;0.1,"*","NS")))</f>
        <v>***</v>
      </c>
      <c r="L8" s="4">
        <v>20.037729132253641</v>
      </c>
      <c r="M8" s="4">
        <v>-8.2346341895351287</v>
      </c>
      <c r="N8" s="2836" t="str">
        <f>IF(       0.02&lt;0.01,"***",IF(       0.02&lt;0.05,"**",IF(       0.02&lt;0.1,"*","NS")))</f>
        <v>**</v>
      </c>
      <c r="P8" s="296" t="s">
        <v>2196</v>
      </c>
      <c r="Q8" s="4">
        <v>26.605377074888089</v>
      </c>
      <c r="R8" s="4">
        <v>20.037729132253641</v>
      </c>
      <c r="S8" s="4">
        <v>-6.567647942634439</v>
      </c>
      <c r="T8" s="2837" t="str">
        <f>IF(       0.054&lt;0.01,"***",IF(       0.054&lt;0.05,"**",IF(       0.054&lt;0.1,"*","NS")))</f>
        <v>*</v>
      </c>
    </row>
    <row r="9" spans="1:20" x14ac:dyDescent="0.2">
      <c r="A9" s="296" t="s">
        <v>1974</v>
      </c>
      <c r="B9" s="4">
        <v>93.183816735636725</v>
      </c>
      <c r="C9" s="4">
        <v>89.342171487371786</v>
      </c>
      <c r="D9" s="4">
        <v>-3.8416452482649039</v>
      </c>
      <c r="E9" s="2838" t="str">
        <f>IF(       0.01&lt;0.01,"***",IF(       0.01&lt;0.05,"**",IF(       0.01&lt;0.1,"*","NS")))</f>
        <v>**</v>
      </c>
      <c r="G9" s="296" t="s">
        <v>2078</v>
      </c>
      <c r="H9" s="4">
        <v>93.183816735636725</v>
      </c>
      <c r="I9" s="4">
        <v>88.644800409356392</v>
      </c>
      <c r="J9" s="4">
        <v>-4.539016326280211</v>
      </c>
      <c r="K9" s="2839" t="str">
        <f>IF(       0.013&lt;0.01,"***",IF(       0.013&lt;0.05,"**",IF(       0.013&lt;0.1,"*","NS")))</f>
        <v>**</v>
      </c>
      <c r="L9" s="4">
        <v>92.57255754602572</v>
      </c>
      <c r="M9" s="4">
        <v>-0.61125918961105208</v>
      </c>
      <c r="N9" s="2840" t="str">
        <f>IF(       0.849&lt;0.01,"***",IF(       0.849&lt;0.05,"**",IF(       0.849&lt;0.1,"*","NS")))</f>
        <v>NS</v>
      </c>
      <c r="P9" s="296" t="s">
        <v>2197</v>
      </c>
      <c r="Q9" s="4">
        <v>92.510801927343934</v>
      </c>
      <c r="R9" s="4">
        <v>92.57255754602572</v>
      </c>
      <c r="S9" s="4">
        <v>6.1755618681760376E-2</v>
      </c>
      <c r="T9" s="2841" t="str">
        <f>IF(       0.985&lt;0.01,"***",IF(       0.985&lt;0.05,"**",IF(       0.985&lt;0.1,"*","NS")))</f>
        <v>NS</v>
      </c>
    </row>
    <row r="10" spans="1:20" x14ac:dyDescent="0.2">
      <c r="A10" s="296" t="s">
        <v>1975</v>
      </c>
      <c r="B10" s="4">
        <v>5.5177040203478027</v>
      </c>
      <c r="C10" s="4">
        <v>3.641653679858333</v>
      </c>
      <c r="D10" s="4">
        <v>-1.8760503404894813</v>
      </c>
      <c r="E10" s="2842" t="str">
        <f>IF(       0.055&lt;0.01,"***",IF(       0.055&lt;0.05,"**",IF(       0.055&lt;0.1,"*","NS")))</f>
        <v>*</v>
      </c>
      <c r="G10" s="296" t="s">
        <v>2079</v>
      </c>
      <c r="H10" s="4">
        <v>5.5177040203478027</v>
      </c>
      <c r="I10" s="4">
        <v>4.0137877978341079</v>
      </c>
      <c r="J10" s="4">
        <v>-1.5039162225137235</v>
      </c>
      <c r="K10" s="2843" t="str">
        <f>IF(       0.206&lt;0.01,"***",IF(       0.206&lt;0.05,"**",IF(       0.206&lt;0.1,"*","NS")))</f>
        <v>NS</v>
      </c>
      <c r="L10" s="4">
        <v>2.4239776552437262</v>
      </c>
      <c r="M10" s="4">
        <v>-3.0937263651041054</v>
      </c>
      <c r="N10" s="2844" t="str">
        <f>IF(       0.066&lt;0.01,"***",IF(       0.066&lt;0.05,"**",IF(       0.066&lt;0.1,"*","NS")))</f>
        <v>*</v>
      </c>
      <c r="P10" s="296" t="s">
        <v>2198</v>
      </c>
      <c r="Q10" s="4">
        <v>5.2393021179514054</v>
      </c>
      <c r="R10" s="4">
        <v>2.4239776552437262</v>
      </c>
      <c r="S10" s="4">
        <v>-2.8153244627077298</v>
      </c>
      <c r="T10" s="2845" t="str">
        <f>IF(       0.099&lt;0.01,"***",IF(       0.099&lt;0.05,"**",IF(       0.099&lt;0.1,"*","NS")))</f>
        <v>*</v>
      </c>
    </row>
    <row r="11" spans="1:20" x14ac:dyDescent="0.2">
      <c r="A11" s="296" t="s">
        <v>1976</v>
      </c>
      <c r="B11" s="4">
        <v>28.64387128178933</v>
      </c>
      <c r="C11" s="4">
        <v>17.91930504879641</v>
      </c>
      <c r="D11" s="4">
        <v>-10.724566232992904</v>
      </c>
      <c r="E11" s="2846" t="str">
        <f>IF(       0&lt;0.01,"***",IF(       0&lt;0.05,"**",IF(       0&lt;0.1,"*","NS")))</f>
        <v>***</v>
      </c>
      <c r="G11" s="296" t="s">
        <v>2080</v>
      </c>
      <c r="H11" s="4">
        <v>28.64387128178933</v>
      </c>
      <c r="I11" s="4">
        <v>19.397883085482871</v>
      </c>
      <c r="J11" s="4">
        <v>-9.2459881963065218</v>
      </c>
      <c r="K11" s="2847" t="str">
        <f>IF(       0&lt;0.01,"***",IF(       0&lt;0.05,"**",IF(       0&lt;0.1,"*","NS")))</f>
        <v>***</v>
      </c>
      <c r="L11" s="4">
        <v>15.55842747742874</v>
      </c>
      <c r="M11" s="4">
        <v>-13.08544380436061</v>
      </c>
      <c r="N11" s="2848" t="str">
        <f>IF(       0&lt;0.01,"***",IF(       0&lt;0.05,"**",IF(       0&lt;0.1,"*","NS")))</f>
        <v>***</v>
      </c>
      <c r="P11" s="296" t="s">
        <v>2199</v>
      </c>
      <c r="Q11" s="4">
        <v>25.501948374420319</v>
      </c>
      <c r="R11" s="4">
        <v>15.55842747742874</v>
      </c>
      <c r="S11" s="4">
        <v>-9.9435208969915188</v>
      </c>
      <c r="T11" s="2849" t="str">
        <f>IF(       0.001&lt;0.01,"***",IF(       0.001&lt;0.05,"**",IF(       0.001&lt;0.1,"*","NS")))</f>
        <v>***</v>
      </c>
    </row>
    <row r="12" spans="1:20" x14ac:dyDescent="0.2">
      <c r="A12" s="296" t="s">
        <v>1977</v>
      </c>
      <c r="B12" s="4">
        <v>9.6463082367524358</v>
      </c>
      <c r="C12" s="4">
        <v>5.6362964870521211</v>
      </c>
      <c r="D12" s="4">
        <v>-4.010011749700265</v>
      </c>
      <c r="E12" s="2850" t="str">
        <f>IF(       0&lt;0.01,"***",IF(       0&lt;0.05,"**",IF(       0&lt;0.1,"*","NS")))</f>
        <v>***</v>
      </c>
      <c r="G12" s="296" t="s">
        <v>2081</v>
      </c>
      <c r="H12" s="4">
        <v>9.6463082367524358</v>
      </c>
      <c r="I12" s="4">
        <v>6.055935967907776</v>
      </c>
      <c r="J12" s="4">
        <v>-3.5903722688446633</v>
      </c>
      <c r="K12" s="2851" t="str">
        <f>IF(       0.001&lt;0.01,"***",IF(       0.001&lt;0.05,"**",IF(       0.001&lt;0.1,"*","NS")))</f>
        <v>***</v>
      </c>
      <c r="L12" s="4">
        <v>4.2724559784058567</v>
      </c>
      <c r="M12" s="4">
        <v>-5.3738522583466048</v>
      </c>
      <c r="N12" s="2852" t="str">
        <f>IF(       0&lt;0.01,"***",IF(       0&lt;0.05,"**",IF(       0&lt;0.1,"*","NS")))</f>
        <v>***</v>
      </c>
      <c r="P12" s="296" t="s">
        <v>2200</v>
      </c>
      <c r="Q12" s="4">
        <v>8.260617892328165</v>
      </c>
      <c r="R12" s="4">
        <v>4.2724559784058567</v>
      </c>
      <c r="S12" s="4">
        <v>-3.9881619139224136</v>
      </c>
      <c r="T12" s="2853" t="str">
        <f>IF(       0&lt;0.01,"***",IF(       0&lt;0.05,"**",IF(       0&lt;0.1,"*","NS")))</f>
        <v>***</v>
      </c>
    </row>
    <row r="13" spans="1:20" x14ac:dyDescent="0.2">
      <c r="A13" s="296" t="s">
        <v>1978</v>
      </c>
      <c r="B13" s="4">
        <v>42.821481430164958</v>
      </c>
      <c r="C13" s="4">
        <v>32.743947085171023</v>
      </c>
      <c r="D13" s="4">
        <v>-10.077534344993964</v>
      </c>
      <c r="E13" s="2854" t="str">
        <f>IF(       0&lt;0.01,"***",IF(       0&lt;0.05,"**",IF(       0&lt;0.1,"*","NS")))</f>
        <v>***</v>
      </c>
      <c r="G13" s="296" t="s">
        <v>2082</v>
      </c>
      <c r="H13" s="4">
        <v>42.821481430164958</v>
      </c>
      <c r="I13" s="4">
        <v>32.21637911629599</v>
      </c>
      <c r="J13" s="4">
        <v>-10.605102313868777</v>
      </c>
      <c r="K13" s="2855" t="str">
        <f>IF(       0&lt;0.01,"***",IF(       0&lt;0.05,"**",IF(       0&lt;0.1,"*","NS")))</f>
        <v>***</v>
      </c>
      <c r="L13" s="4">
        <v>34.169852586373899</v>
      </c>
      <c r="M13" s="4">
        <v>-8.6516288437912117</v>
      </c>
      <c r="N13" s="2856" t="str">
        <f>IF(       0.055&lt;0.01,"***",IF(       0.055&lt;0.05,"**",IF(       0.055&lt;0.1,"*","NS")))</f>
        <v>*</v>
      </c>
      <c r="P13" s="296" t="s">
        <v>2201</v>
      </c>
      <c r="Q13" s="4">
        <v>40.283918291161967</v>
      </c>
      <c r="R13" s="4">
        <v>34.169852586373899</v>
      </c>
      <c r="S13" s="4">
        <v>-6.1140657047881328</v>
      </c>
      <c r="T13" s="2857" t="str">
        <f>IF(       0.158&lt;0.01,"***",IF(       0.158&lt;0.05,"**",IF(       0.158&lt;0.1,"*","NS")))</f>
        <v>NS</v>
      </c>
    </row>
    <row r="14" spans="1:20" x14ac:dyDescent="0.2">
      <c r="A14" s="296" t="s">
        <v>1979</v>
      </c>
      <c r="B14" s="4">
        <v>61.698875608802098</v>
      </c>
      <c r="C14" s="4">
        <v>40.620168142168957</v>
      </c>
      <c r="D14" s="4">
        <v>-21.078707466633386</v>
      </c>
      <c r="E14" s="2858" t="str">
        <f>IF(       0&lt;0.01,"***",IF(       0&lt;0.05,"**",IF(       0&lt;0.1,"*","NS")))</f>
        <v>***</v>
      </c>
      <c r="G14" s="296" t="s">
        <v>2083</v>
      </c>
      <c r="H14" s="4">
        <v>61.698875608802098</v>
      </c>
      <c r="I14" s="4">
        <v>43.175088092768753</v>
      </c>
      <c r="J14" s="4">
        <v>-18.523787516032801</v>
      </c>
      <c r="K14" s="2859" t="str">
        <f>IF(       0&lt;0.01,"***",IF(       0&lt;0.05,"**",IF(       0&lt;0.1,"*","NS")))</f>
        <v>***</v>
      </c>
      <c r="L14" s="4">
        <v>33.093213322031531</v>
      </c>
      <c r="M14" s="4">
        <v>-28.605662286770482</v>
      </c>
      <c r="N14" s="2860" t="str">
        <f>IF(       0&lt;0.01,"***",IF(       0&lt;0.05,"**",IF(       0&lt;0.1,"*","NS")))</f>
        <v>***</v>
      </c>
      <c r="P14" s="296" t="s">
        <v>2202</v>
      </c>
      <c r="Q14" s="4">
        <v>57.679001512262062</v>
      </c>
      <c r="R14" s="4">
        <v>33.093213322031531</v>
      </c>
      <c r="S14" s="4">
        <v>-24.585788190230989</v>
      </c>
      <c r="T14" s="2861" t="str">
        <f>IF(       0&lt;0.01,"***",IF(       0&lt;0.05,"**",IF(       0&lt;0.1,"*","NS")))</f>
        <v>***</v>
      </c>
    </row>
    <row r="15" spans="1:20" x14ac:dyDescent="0.2">
      <c r="A15" s="296" t="s">
        <v>1980</v>
      </c>
      <c r="B15" s="4">
        <v>11.320354694067509</v>
      </c>
      <c r="C15" s="4">
        <v>5.893521158734921</v>
      </c>
      <c r="D15" s="4">
        <v>-5.4268335353324852</v>
      </c>
      <c r="E15" s="2862" t="str">
        <f>IF(       0.02&lt;0.01,"***",IF(       0.02&lt;0.05,"**",IF(       0.02&lt;0.1,"*","NS")))</f>
        <v>**</v>
      </c>
      <c r="G15" s="296" t="s">
        <v>2084</v>
      </c>
      <c r="H15" s="4">
        <v>11.320354694067509</v>
      </c>
      <c r="I15" s="4">
        <v>6.6559298833491853</v>
      </c>
      <c r="J15" s="4">
        <v>-4.6644248107183675</v>
      </c>
      <c r="K15" s="2863" t="str">
        <f>IF(       0.028&lt;0.01,"***",IF(       0.028&lt;0.05,"**",IF(       0.028&lt;0.1,"*","NS")))</f>
        <v>**</v>
      </c>
      <c r="L15" s="4">
        <v>3.5563631487977792</v>
      </c>
      <c r="M15" s="4">
        <v>-7.7639915452697332</v>
      </c>
      <c r="N15" s="2864" t="str">
        <f>IF(       0.027&lt;0.01,"***",IF(       0.027&lt;0.05,"**",IF(       0.027&lt;0.1,"*","NS")))</f>
        <v>**</v>
      </c>
      <c r="P15" s="296" t="s">
        <v>2203</v>
      </c>
      <c r="Q15" s="4">
        <v>10.270911061930761</v>
      </c>
      <c r="R15" s="4">
        <v>3.5563631487977792</v>
      </c>
      <c r="S15" s="4">
        <v>-6.7145479131329626</v>
      </c>
      <c r="T15" s="2865" t="str">
        <f>IF(       0.033&lt;0.01,"***",IF(       0.033&lt;0.05,"**",IF(       0.033&lt;0.1,"*","NS")))</f>
        <v>**</v>
      </c>
    </row>
    <row r="16" spans="1:20" x14ac:dyDescent="0.2">
      <c r="A16" s="296" t="s">
        <v>1981</v>
      </c>
      <c r="B16" s="4">
        <v>25.38327946966659</v>
      </c>
      <c r="C16" s="4">
        <v>19.69530356543061</v>
      </c>
      <c r="D16" s="4">
        <v>-5.6879759042359259</v>
      </c>
      <c r="E16" s="2866" t="str">
        <f>IF(       0.007&lt;0.01,"***",IF(       0.007&lt;0.05,"**",IF(       0.007&lt;0.1,"*","NS")))</f>
        <v>***</v>
      </c>
      <c r="G16" s="296" t="s">
        <v>2085</v>
      </c>
      <c r="H16" s="4">
        <v>25.38327946966659</v>
      </c>
      <c r="I16" s="4">
        <v>19.96065232596823</v>
      </c>
      <c r="J16" s="4">
        <v>-5.4226271436984241</v>
      </c>
      <c r="K16" s="2867" t="str">
        <f>IF(       0.03&lt;0.01,"***",IF(       0.03&lt;0.05,"**",IF(       0.03&lt;0.1,"*","NS")))</f>
        <v>**</v>
      </c>
      <c r="L16" s="4">
        <v>19.107931688369518</v>
      </c>
      <c r="M16" s="4">
        <v>-6.2753477812970742</v>
      </c>
      <c r="N16" s="2868" t="str">
        <f>IF(       0.004&lt;0.01,"***",IF(       0.004&lt;0.05,"**",IF(       0.004&lt;0.1,"*","NS")))</f>
        <v>***</v>
      </c>
      <c r="P16" s="296" t="s">
        <v>2204</v>
      </c>
      <c r="Q16" s="4">
        <v>23.594212868766942</v>
      </c>
      <c r="R16" s="4">
        <v>19.107931688369518</v>
      </c>
      <c r="S16" s="4">
        <v>-4.4862811803974036</v>
      </c>
      <c r="T16" s="2869" t="str">
        <f>IF(       0.025&lt;0.01,"***",IF(       0.025&lt;0.05,"**",IF(       0.025&lt;0.1,"*","NS")))</f>
        <v>**</v>
      </c>
    </row>
    <row r="17" spans="1:20" x14ac:dyDescent="0.2">
      <c r="A17" s="296" t="s">
        <v>1982</v>
      </c>
      <c r="B17" s="4">
        <v>9.4459487913128335</v>
      </c>
      <c r="C17" s="4">
        <v>5.8969909624880312</v>
      </c>
      <c r="D17" s="4">
        <v>-3.5489578288247925</v>
      </c>
      <c r="E17" s="2870" t="str">
        <f>IF(       0.002&lt;0.01,"***",IF(       0.002&lt;0.05,"**",IF(       0.002&lt;0.1,"*","NS")))</f>
        <v>***</v>
      </c>
      <c r="G17" s="296" t="s">
        <v>2086</v>
      </c>
      <c r="H17" s="4">
        <v>9.4459487913128335</v>
      </c>
      <c r="I17" s="4">
        <v>6.6457317564882104</v>
      </c>
      <c r="J17" s="4">
        <v>-2.8002170348246307</v>
      </c>
      <c r="K17" s="2871" t="str">
        <f>IF(       0.029&lt;0.01,"***",IF(       0.029&lt;0.05,"**",IF(       0.029&lt;0.1,"*","NS")))</f>
        <v>**</v>
      </c>
      <c r="L17" s="4">
        <v>3.5277578879888969</v>
      </c>
      <c r="M17" s="4">
        <v>-5.9181909033237723</v>
      </c>
      <c r="N17" s="2872" t="str">
        <f>IF(       0.001&lt;0.01,"***",IF(       0.001&lt;0.05,"**",IF(       0.001&lt;0.1,"*","NS")))</f>
        <v>***</v>
      </c>
      <c r="P17" s="296" t="s">
        <v>2205</v>
      </c>
      <c r="Q17" s="4">
        <v>8.7180569125670679</v>
      </c>
      <c r="R17" s="4">
        <v>3.5277578879888969</v>
      </c>
      <c r="S17" s="4">
        <v>-5.1902990245781568</v>
      </c>
      <c r="T17" s="2873" t="str">
        <f>IF(       0.003&lt;0.01,"***",IF(       0.003&lt;0.05,"**",IF(       0.003&lt;0.1,"*","NS")))</f>
        <v>***</v>
      </c>
    </row>
    <row r="18" spans="1:20" x14ac:dyDescent="0.2">
      <c r="A18" s="296" t="s">
        <v>5835</v>
      </c>
      <c r="B18" s="4">
        <v>33.43356235940275</v>
      </c>
      <c r="C18" s="4">
        <v>21.433991945952439</v>
      </c>
      <c r="D18" s="4">
        <v>-11.99957041345009</v>
      </c>
      <c r="E18" s="2874" t="str">
        <f>IF(       0&lt;0.01,"***",IF(       0&lt;0.05,"**",IF(       0&lt;0.1,"*","NS")))</f>
        <v>***</v>
      </c>
      <c r="G18" s="296" t="s">
        <v>5835</v>
      </c>
      <c r="H18" s="4">
        <v>33.43356235940275</v>
      </c>
      <c r="I18" s="4">
        <v>22.129484478424231</v>
      </c>
      <c r="J18" s="4">
        <v>-11.304077880978333</v>
      </c>
      <c r="K18" s="2875" t="str">
        <f>IF(       0&lt;0.01,"***",IF(       0&lt;0.05,"**",IF(       0&lt;0.1,"*","NS")))</f>
        <v>***</v>
      </c>
      <c r="L18" s="4">
        <v>19.39011334650921</v>
      </c>
      <c r="M18" s="4">
        <v>-14.043449012893172</v>
      </c>
      <c r="N18" s="2876" t="str">
        <f>IF(       0&lt;0.01,"***",IF(       0&lt;0.05,"**",IF(       0&lt;0.1,"*","NS")))</f>
        <v>***</v>
      </c>
      <c r="P18" s="296" t="s">
        <v>5835</v>
      </c>
      <c r="Q18" s="4">
        <v>30.41405283029216</v>
      </c>
      <c r="R18" s="4">
        <v>19.39011334650921</v>
      </c>
      <c r="S18" s="4">
        <v>-11.023939483782783</v>
      </c>
      <c r="T18" s="2877" t="str">
        <f>IF(       0&lt;0.01,"***",IF(       0&lt;0.05,"**",IF(       0&lt;0.1,"*","NS")))</f>
        <v>***</v>
      </c>
    </row>
    <row r="20" spans="1:20" x14ac:dyDescent="0.2">
      <c r="A20" s="296" t="s">
        <v>1983</v>
      </c>
      <c r="G20" s="296" t="s">
        <v>2087</v>
      </c>
      <c r="P20" s="296" t="s">
        <v>2206</v>
      </c>
    </row>
    <row r="21" spans="1:20" s="3" customFormat="1" x14ac:dyDescent="0.2">
      <c r="A21" s="5892" t="s">
        <v>1984</v>
      </c>
      <c r="B21" s="5893" t="s">
        <v>1985</v>
      </c>
      <c r="C21" s="5894" t="s">
        <v>1986</v>
      </c>
      <c r="D21" s="5895" t="s">
        <v>1987</v>
      </c>
      <c r="E21" s="5896" t="s">
        <v>1988</v>
      </c>
      <c r="G21" s="5897" t="s">
        <v>2088</v>
      </c>
      <c r="H21" s="5898" t="s">
        <v>2089</v>
      </c>
      <c r="I21" s="5899" t="s">
        <v>2090</v>
      </c>
      <c r="J21" s="5900" t="s">
        <v>2091</v>
      </c>
      <c r="K21" s="5901" t="s">
        <v>2092</v>
      </c>
      <c r="L21" s="5902" t="s">
        <v>2173</v>
      </c>
      <c r="M21" s="5903" t="s">
        <v>2174</v>
      </c>
      <c r="N21" s="5904" t="s">
        <v>2175</v>
      </c>
      <c r="P21" s="5905" t="s">
        <v>2207</v>
      </c>
      <c r="Q21" s="5906" t="s">
        <v>2208</v>
      </c>
      <c r="R21" s="5907" t="s">
        <v>2209</v>
      </c>
      <c r="S21" s="5908" t="s">
        <v>2210</v>
      </c>
      <c r="T21" s="5909" t="s">
        <v>2211</v>
      </c>
    </row>
    <row r="22" spans="1:20" x14ac:dyDescent="0.2">
      <c r="A22" s="296" t="s">
        <v>1989</v>
      </c>
      <c r="B22" s="4">
        <v>12.494296378716561</v>
      </c>
      <c r="C22" s="4">
        <v>8.4483921295899123</v>
      </c>
      <c r="D22" s="4">
        <v>-4.0459042491266519</v>
      </c>
      <c r="E22" s="2878" t="str">
        <f>IF(       0.035&lt;0.01,"***",IF(       0.035&lt;0.05,"**",IF(       0.035&lt;0.1,"*","NS")))</f>
        <v>**</v>
      </c>
      <c r="G22" s="296" t="s">
        <v>2093</v>
      </c>
      <c r="H22" s="4">
        <v>12.494296378716561</v>
      </c>
      <c r="I22" s="4">
        <v>8.6368808044822796</v>
      </c>
      <c r="J22" s="4">
        <v>-3.8574155742342624</v>
      </c>
      <c r="K22" s="2879" t="str">
        <f>IF(       0.063&lt;0.01,"***",IF(       0.063&lt;0.05,"**",IF(       0.063&lt;0.1,"*","NS")))</f>
        <v>*</v>
      </c>
      <c r="L22" s="4">
        <v>7.7998272337553836</v>
      </c>
      <c r="M22" s="4">
        <v>-4.6944691449611851</v>
      </c>
      <c r="N22" s="2880" t="str">
        <f>IF(       0.096&lt;0.01,"***",IF(       0.096&lt;0.05,"**",IF(       0.096&lt;0.1,"*","NS")))</f>
        <v>*</v>
      </c>
      <c r="P22" s="296" t="s">
        <v>2212</v>
      </c>
      <c r="Q22" s="4">
        <v>11.044657109976439</v>
      </c>
      <c r="R22" s="4">
        <v>7.7998272337553836</v>
      </c>
      <c r="S22" s="4">
        <v>-3.244829876221071</v>
      </c>
      <c r="T22" s="2881" t="str">
        <f>IF(       0.221&lt;0.01,"***",IF(       0.221&lt;0.05,"**",IF(       0.221&lt;0.1,"*","NS")))</f>
        <v>NS</v>
      </c>
    </row>
    <row r="23" spans="1:20" x14ac:dyDescent="0.2">
      <c r="A23" s="296" t="s">
        <v>1990</v>
      </c>
      <c r="B23" s="4">
        <v>35.011933625228878</v>
      </c>
      <c r="C23" s="4">
        <v>24.951382275343349</v>
      </c>
      <c r="D23" s="4">
        <v>-10.060551349885559</v>
      </c>
      <c r="E23" s="2882" t="str">
        <f>IF(       0.001&lt;0.01,"***",IF(       0.001&lt;0.05,"**",IF(       0.001&lt;0.1,"*","NS")))</f>
        <v>***</v>
      </c>
      <c r="G23" s="296" t="s">
        <v>2094</v>
      </c>
      <c r="H23" s="4">
        <v>35.011933625228878</v>
      </c>
      <c r="I23" s="4">
        <v>25.39414379574551</v>
      </c>
      <c r="J23" s="4">
        <v>-9.6177898294833746</v>
      </c>
      <c r="K23" s="2883" t="str">
        <f>IF(       0.007&lt;0.01,"***",IF(       0.007&lt;0.05,"**",IF(       0.007&lt;0.1,"*","NS")))</f>
        <v>***</v>
      </c>
      <c r="L23" s="4">
        <v>23.811488210543839</v>
      </c>
      <c r="M23" s="4">
        <v>-11.200445414685005</v>
      </c>
      <c r="N23" s="2884" t="str">
        <f>IF(       0.006&lt;0.01,"***",IF(       0.006&lt;0.05,"**",IF(       0.006&lt;0.1,"*","NS")))</f>
        <v>***</v>
      </c>
      <c r="P23" s="296" t="s">
        <v>2213</v>
      </c>
      <c r="Q23" s="4">
        <v>31.81824582676273</v>
      </c>
      <c r="R23" s="4">
        <v>23.811488210543839</v>
      </c>
      <c r="S23" s="4">
        <v>-8.0067576162189855</v>
      </c>
      <c r="T23" s="2885" t="str">
        <f>IF(       0.035&lt;0.01,"***",IF(       0.035&lt;0.05,"**",IF(       0.035&lt;0.1,"*","NS")))</f>
        <v>**</v>
      </c>
    </row>
    <row r="24" spans="1:20" x14ac:dyDescent="0.2">
      <c r="A24" s="296" t="s">
        <v>1991</v>
      </c>
      <c r="B24" s="4">
        <v>17.21344990867123</v>
      </c>
      <c r="C24" s="4">
        <v>12.30760291625494</v>
      </c>
      <c r="D24" s="4">
        <v>-4.9058469924162722</v>
      </c>
      <c r="E24" s="2886" t="str">
        <f>IF(       0.1&lt;0.01,"***",IF(       0.1&lt;0.05,"**",IF(       0.1&lt;0.1,"*","NS")))</f>
        <v>NS</v>
      </c>
      <c r="G24" s="296" t="s">
        <v>2095</v>
      </c>
      <c r="H24" s="4">
        <v>17.21344990867123</v>
      </c>
      <c r="I24" s="4">
        <v>14.47066997567347</v>
      </c>
      <c r="J24" s="4">
        <v>-2.7427799329977813</v>
      </c>
      <c r="K24" s="2887" t="str">
        <f>IF(       0.35&lt;0.01,"***",IF(       0.35&lt;0.05,"**",IF(       0.35&lt;0.1,"*","NS")))</f>
        <v>NS</v>
      </c>
      <c r="L24" s="4">
        <v>6.5255412883117723</v>
      </c>
      <c r="M24" s="4">
        <v>-10.687908620359517</v>
      </c>
      <c r="N24" s="2888" t="str">
        <f>IF(       0.017&lt;0.01,"***",IF(       0.017&lt;0.05,"**",IF(       0.017&lt;0.1,"*","NS")))</f>
        <v>**</v>
      </c>
      <c r="P24" s="296" t="s">
        <v>2214</v>
      </c>
      <c r="Q24" s="4">
        <v>16.565188038428261</v>
      </c>
      <c r="R24" s="4">
        <v>6.5255412883117723</v>
      </c>
      <c r="S24" s="4">
        <v>-10.039646750116518</v>
      </c>
      <c r="T24" s="2889" t="str">
        <f>IF(       0.016&lt;0.01,"***",IF(       0.016&lt;0.05,"**",IF(       0.016&lt;0.1,"*","NS")))</f>
        <v>**</v>
      </c>
    </row>
    <row r="25" spans="1:20" x14ac:dyDescent="0.2">
      <c r="A25" s="296" t="s">
        <v>1992</v>
      </c>
      <c r="B25" s="4">
        <v>11.654663913763819</v>
      </c>
      <c r="C25" s="4">
        <v>10.115374617292961</v>
      </c>
      <c r="D25" s="4">
        <v>-1.5392892964708451</v>
      </c>
      <c r="E25" s="2890" t="str">
        <f>IF(       0.395&lt;0.01,"***",IF(       0.395&lt;0.05,"**",IF(       0.395&lt;0.1,"*","NS")))</f>
        <v>NS</v>
      </c>
      <c r="G25" s="296" t="s">
        <v>2096</v>
      </c>
      <c r="H25" s="4">
        <v>11.654663913763819</v>
      </c>
      <c r="I25" s="4">
        <v>9.9505490324137131</v>
      </c>
      <c r="J25" s="4">
        <v>-1.7041148813500884</v>
      </c>
      <c r="K25" s="2891" t="str">
        <f>IF(       0.347&lt;0.01,"***",IF(       0.347&lt;0.05,"**",IF(       0.347&lt;0.1,"*","NS")))</f>
        <v>NS</v>
      </c>
      <c r="L25" s="4">
        <v>10.694972921071249</v>
      </c>
      <c r="M25" s="4">
        <v>-0.95969099269255276</v>
      </c>
      <c r="N25" s="2892" t="str">
        <f>IF(       0.818&lt;0.01,"***",IF(       0.818&lt;0.05,"**",IF(       0.818&lt;0.1,"*","NS")))</f>
        <v>NS</v>
      </c>
      <c r="P25" s="296" t="s">
        <v>2215</v>
      </c>
      <c r="Q25" s="4">
        <v>11.13541225690091</v>
      </c>
      <c r="R25" s="4">
        <v>10.694972921071249</v>
      </c>
      <c r="S25" s="4">
        <v>-0.44043933582965544</v>
      </c>
      <c r="T25" s="2893" t="str">
        <f>IF(       0.915&lt;0.01,"***",IF(       0.915&lt;0.05,"**",IF(       0.915&lt;0.1,"*","NS")))</f>
        <v>NS</v>
      </c>
    </row>
    <row r="26" spans="1:20" x14ac:dyDescent="0.2">
      <c r="A26" s="296" t="s">
        <v>1993</v>
      </c>
      <c r="B26" s="4">
        <v>36.253549857939703</v>
      </c>
      <c r="C26" s="4">
        <v>27.148278907001671</v>
      </c>
      <c r="D26" s="4">
        <v>-9.1052709509380456</v>
      </c>
      <c r="E26" s="2894" t="str">
        <f>IF(       0.005&lt;0.01,"***",IF(       0.005&lt;0.05,"**",IF(       0.005&lt;0.1,"*","NS")))</f>
        <v>***</v>
      </c>
      <c r="G26" s="296" t="s">
        <v>2097</v>
      </c>
      <c r="H26" s="4">
        <v>36.253549857939703</v>
      </c>
      <c r="I26" s="4">
        <v>29.02249677375136</v>
      </c>
      <c r="J26" s="4">
        <v>-7.2310530841883818</v>
      </c>
      <c r="K26" s="2895" t="str">
        <f>IF(       0.024&lt;0.01,"***",IF(       0.024&lt;0.05,"**",IF(       0.024&lt;0.1,"*","NS")))</f>
        <v>**</v>
      </c>
      <c r="L26" s="4">
        <v>18.857599897381771</v>
      </c>
      <c r="M26" s="4">
        <v>-17.395949960557978</v>
      </c>
      <c r="N26" s="2896" t="str">
        <f>IF(       0.005&lt;0.01,"***",IF(       0.005&lt;0.05,"**",IF(       0.005&lt;0.1,"*","NS")))</f>
        <v>***</v>
      </c>
      <c r="P26" s="296" t="s">
        <v>2216</v>
      </c>
      <c r="Q26" s="4">
        <v>34.31913827666623</v>
      </c>
      <c r="R26" s="4">
        <v>18.857599897381771</v>
      </c>
      <c r="S26" s="4">
        <v>-15.461538379284272</v>
      </c>
      <c r="T26" s="2897" t="str">
        <f>IF(       0.009&lt;0.01,"***",IF(       0.009&lt;0.05,"**",IF(       0.009&lt;0.1,"*","NS")))</f>
        <v>***</v>
      </c>
    </row>
    <row r="27" spans="1:20" x14ac:dyDescent="0.2">
      <c r="A27" s="296" t="s">
        <v>1994</v>
      </c>
      <c r="B27" s="4">
        <v>28.352387682401961</v>
      </c>
      <c r="C27" s="4">
        <v>21.353008468578651</v>
      </c>
      <c r="D27" s="4">
        <v>-6.9993792138232909</v>
      </c>
      <c r="E27" s="2898" t="str">
        <f>IF(       0.012&lt;0.01,"***",IF(       0.012&lt;0.05,"**",IF(       0.012&lt;0.1,"*","NS")))</f>
        <v>**</v>
      </c>
      <c r="G27" s="296" t="s">
        <v>2098</v>
      </c>
      <c r="H27" s="4">
        <v>28.352387682401961</v>
      </c>
      <c r="I27" s="4">
        <v>21.550181034681049</v>
      </c>
      <c r="J27" s="4">
        <v>-6.8022066477208982</v>
      </c>
      <c r="K27" s="2899" t="str">
        <f>IF(       0.019&lt;0.01,"***",IF(       0.019&lt;0.05,"**",IF(       0.019&lt;0.1,"*","NS")))</f>
        <v>**</v>
      </c>
      <c r="L27" s="4">
        <v>20.78076225796503</v>
      </c>
      <c r="M27" s="4">
        <v>-7.5716254244369887</v>
      </c>
      <c r="N27" s="2900" t="str">
        <f>IF(       0.059&lt;0.01,"***",IF(       0.059&lt;0.05,"**",IF(       0.059&lt;0.1,"*","NS")))</f>
        <v>*</v>
      </c>
      <c r="P27" s="296" t="s">
        <v>2217</v>
      </c>
      <c r="Q27" s="4">
        <v>26.379850220990811</v>
      </c>
      <c r="R27" s="4">
        <v>20.78076225796503</v>
      </c>
      <c r="S27" s="4">
        <v>-5.5990879630257924</v>
      </c>
      <c r="T27" s="2901" t="str">
        <f>IF(       0.137&lt;0.01,"***",IF(       0.137&lt;0.05,"**",IF(       0.137&lt;0.1,"*","NS")))</f>
        <v>NS</v>
      </c>
    </row>
    <row r="28" spans="1:20" x14ac:dyDescent="0.2">
      <c r="A28" s="296" t="s">
        <v>1995</v>
      </c>
      <c r="B28" s="4">
        <v>94.331704092417397</v>
      </c>
      <c r="C28" s="4">
        <v>91.074197051616721</v>
      </c>
      <c r="D28" s="4">
        <v>-3.2575070408007041</v>
      </c>
      <c r="E28" s="2902" t="str">
        <f>IF(       0.089&lt;0.01,"***",IF(       0.089&lt;0.05,"**",IF(       0.089&lt;0.1,"*","NS")))</f>
        <v>*</v>
      </c>
      <c r="G28" s="296" t="s">
        <v>2099</v>
      </c>
      <c r="H28" s="4">
        <v>94.331704092417397</v>
      </c>
      <c r="I28" s="4">
        <v>90.853722081290911</v>
      </c>
      <c r="J28" s="4">
        <v>-3.4779820111264748</v>
      </c>
      <c r="K28" s="2903" t="str">
        <f>IF(       0.117&lt;0.01,"***",IF(       0.117&lt;0.05,"**",IF(       0.117&lt;0.1,"*","NS")))</f>
        <v>NS</v>
      </c>
      <c r="L28" s="4">
        <v>92.018861218250336</v>
      </c>
      <c r="M28" s="4">
        <v>-2.3128428741670897</v>
      </c>
      <c r="N28" s="2904" t="str">
        <f>IF(       0.501&lt;0.01,"***",IF(       0.501&lt;0.05,"**",IF(       0.501&lt;0.1,"*","NS")))</f>
        <v>NS</v>
      </c>
      <c r="P28" s="296" t="s">
        <v>2218</v>
      </c>
      <c r="Q28" s="4">
        <v>93.783207987538844</v>
      </c>
      <c r="R28" s="4">
        <v>92.018861218250336</v>
      </c>
      <c r="S28" s="4">
        <v>-1.7643467692885075</v>
      </c>
      <c r="T28" s="2905" t="str">
        <f>IF(       0.61&lt;0.01,"***",IF(       0.61&lt;0.05,"**",IF(       0.61&lt;0.1,"*","NS")))</f>
        <v>NS</v>
      </c>
    </row>
    <row r="29" spans="1:20" x14ac:dyDescent="0.2">
      <c r="A29" s="296" t="s">
        <v>1996</v>
      </c>
      <c r="B29" s="4">
        <v>5.2558136389153907</v>
      </c>
      <c r="C29" s="4">
        <v>3.4544296989654319</v>
      </c>
      <c r="D29" s="4">
        <v>-1.8013839399499578</v>
      </c>
      <c r="E29" s="2906" t="str">
        <f>IF(       0.115&lt;0.01,"***",IF(       0.115&lt;0.05,"**",IF(       0.115&lt;0.1,"*","NS")))</f>
        <v>NS</v>
      </c>
      <c r="G29" s="296" t="s">
        <v>2100</v>
      </c>
      <c r="H29" s="4">
        <v>5.2558136389153907</v>
      </c>
      <c r="I29" s="4">
        <v>3.2075157802278458</v>
      </c>
      <c r="J29" s="4">
        <v>-2.0482978586875644</v>
      </c>
      <c r="K29" s="2907" t="str">
        <f>IF(       0.098&lt;0.01,"***",IF(       0.098&lt;0.05,"**",IF(       0.098&lt;0.1,"*","NS")))</f>
        <v>*</v>
      </c>
      <c r="L29" s="4">
        <v>4.3169897930296566</v>
      </c>
      <c r="M29" s="4">
        <v>-0.93882384588573975</v>
      </c>
      <c r="N29" s="2908" t="str">
        <f>IF(       0.726&lt;0.01,"***",IF(       0.726&lt;0.05,"**",IF(       0.726&lt;0.1,"*","NS")))</f>
        <v>NS</v>
      </c>
      <c r="P29" s="296" t="s">
        <v>2219</v>
      </c>
      <c r="Q29" s="4">
        <v>4.8333801522659989</v>
      </c>
      <c r="R29" s="4">
        <v>4.3169897930296566</v>
      </c>
      <c r="S29" s="4">
        <v>-0.51639035923634324</v>
      </c>
      <c r="T29" s="2909" t="str">
        <f>IF(       0.847&lt;0.01,"***",IF(       0.847&lt;0.05,"**",IF(       0.847&lt;0.1,"*","NS")))</f>
        <v>NS</v>
      </c>
    </row>
    <row r="30" spans="1:20" x14ac:dyDescent="0.2">
      <c r="A30" s="296" t="s">
        <v>1997</v>
      </c>
      <c r="B30" s="4">
        <v>27.997457740722759</v>
      </c>
      <c r="C30" s="4">
        <v>16.439370571647149</v>
      </c>
      <c r="D30" s="4">
        <v>-11.558087169075572</v>
      </c>
      <c r="E30" s="2910" t="str">
        <f>IF(       0.001&lt;0.01,"***",IF(       0.001&lt;0.05,"**",IF(       0.001&lt;0.1,"*","NS")))</f>
        <v>***</v>
      </c>
      <c r="G30" s="296" t="s">
        <v>2101</v>
      </c>
      <c r="H30" s="4">
        <v>27.997457740722759</v>
      </c>
      <c r="I30" s="4">
        <v>17.560478320777339</v>
      </c>
      <c r="J30" s="4">
        <v>-10.436979419945418</v>
      </c>
      <c r="K30" s="2911" t="str">
        <f>IF(       0.008&lt;0.01,"***",IF(       0.008&lt;0.05,"**",IF(       0.008&lt;0.1,"*","NS")))</f>
        <v>***</v>
      </c>
      <c r="L30" s="4">
        <v>14.764036717243251</v>
      </c>
      <c r="M30" s="4">
        <v>-13.233421023479577</v>
      </c>
      <c r="N30" s="2912" t="str">
        <f>IF(       0.001&lt;0.01,"***",IF(       0.001&lt;0.05,"**",IF(       0.001&lt;0.1,"*","NS")))</f>
        <v>***</v>
      </c>
      <c r="P30" s="296" t="s">
        <v>2220</v>
      </c>
      <c r="Q30" s="4">
        <v>24.052668801886419</v>
      </c>
      <c r="R30" s="4">
        <v>14.764036717243251</v>
      </c>
      <c r="S30" s="4">
        <v>-9.2886320846431634</v>
      </c>
      <c r="T30" s="2913" t="str">
        <f>IF(       0.006&lt;0.01,"***",IF(       0.006&lt;0.05,"**",IF(       0.006&lt;0.1,"*","NS")))</f>
        <v>***</v>
      </c>
    </row>
    <row r="31" spans="1:20" x14ac:dyDescent="0.2">
      <c r="A31" s="296" t="s">
        <v>1998</v>
      </c>
      <c r="B31" s="4">
        <v>8.9818452080885063</v>
      </c>
      <c r="C31" s="4">
        <v>5.1697299368882561</v>
      </c>
      <c r="D31" s="4">
        <v>-3.81211527120024</v>
      </c>
      <c r="E31" s="2914" t="str">
        <f>IF(       0.004&lt;0.01,"***",IF(       0.004&lt;0.05,"**",IF(       0.004&lt;0.1,"*","NS")))</f>
        <v>***</v>
      </c>
      <c r="G31" s="296" t="s">
        <v>2102</v>
      </c>
      <c r="H31" s="4">
        <v>8.9818452080885063</v>
      </c>
      <c r="I31" s="4">
        <v>5.4498219312382066</v>
      </c>
      <c r="J31" s="4">
        <v>-3.5320232768502882</v>
      </c>
      <c r="K31" s="2915" t="str">
        <f>IF(       0.008&lt;0.01,"***",IF(       0.008&lt;0.05,"**",IF(       0.008&lt;0.1,"*","NS")))</f>
        <v>***</v>
      </c>
      <c r="L31" s="4">
        <v>4.2546815742774227</v>
      </c>
      <c r="M31" s="4">
        <v>-4.7271636338110579</v>
      </c>
      <c r="N31" s="2916" t="str">
        <f>IF(       0.007&lt;0.01,"***",IF(       0.007&lt;0.05,"**",IF(       0.007&lt;0.1,"*","NS")))</f>
        <v>***</v>
      </c>
      <c r="P31" s="296" t="s">
        <v>2221</v>
      </c>
      <c r="Q31" s="4">
        <v>7.5464577444769096</v>
      </c>
      <c r="R31" s="4">
        <v>4.2546815742774227</v>
      </c>
      <c r="S31" s="4">
        <v>-3.2917761701994817</v>
      </c>
      <c r="T31" s="2917" t="str">
        <f>IF(       0.021&lt;0.01,"***",IF(       0.021&lt;0.05,"**",IF(       0.021&lt;0.1,"*","NS")))</f>
        <v>**</v>
      </c>
    </row>
    <row r="32" spans="1:20" x14ac:dyDescent="0.2">
      <c r="A32" s="296" t="s">
        <v>1999</v>
      </c>
      <c r="B32" s="4">
        <v>42.366224671804972</v>
      </c>
      <c r="C32" s="4">
        <v>32.253087793182686</v>
      </c>
      <c r="D32" s="4">
        <v>-10.113136878622345</v>
      </c>
      <c r="E32" s="2918" t="str">
        <f>IF(       0.002&lt;0.01,"***",IF(       0.002&lt;0.05,"**",IF(       0.002&lt;0.1,"*","NS")))</f>
        <v>***</v>
      </c>
      <c r="G32" s="296" t="s">
        <v>2103</v>
      </c>
      <c r="H32" s="4">
        <v>42.366224671804972</v>
      </c>
      <c r="I32" s="4">
        <v>32.975899851668927</v>
      </c>
      <c r="J32" s="4">
        <v>-9.3903248201360334</v>
      </c>
      <c r="K32" s="2919" t="str">
        <f>IF(       0.004&lt;0.01,"***",IF(       0.004&lt;0.05,"**",IF(       0.004&lt;0.1,"*","NS")))</f>
        <v>***</v>
      </c>
      <c r="L32" s="4">
        <v>30.37968722039529</v>
      </c>
      <c r="M32" s="4">
        <v>-11.986537451409573</v>
      </c>
      <c r="N32" s="2920" t="str">
        <f>IF(       0.021&lt;0.01,"***",IF(       0.021&lt;0.05,"**",IF(       0.021&lt;0.1,"*","NS")))</f>
        <v>**</v>
      </c>
      <c r="P32" s="296" t="s">
        <v>2222</v>
      </c>
      <c r="Q32" s="4">
        <v>39.90827780830876</v>
      </c>
      <c r="R32" s="4">
        <v>30.37968722039529</v>
      </c>
      <c r="S32" s="4">
        <v>-9.5285905879133281</v>
      </c>
      <c r="T32" s="2921" t="str">
        <f>IF(       0.053&lt;0.01,"***",IF(       0.053&lt;0.05,"**",IF(       0.053&lt;0.1,"*","NS")))</f>
        <v>*</v>
      </c>
    </row>
    <row r="33" spans="1:20" x14ac:dyDescent="0.2">
      <c r="A33" s="296" t="s">
        <v>2000</v>
      </c>
      <c r="B33" s="4">
        <v>64.123708789405754</v>
      </c>
      <c r="C33" s="4">
        <v>40.551391475606941</v>
      </c>
      <c r="D33" s="4">
        <v>-23.572317313798845</v>
      </c>
      <c r="E33" s="2922" t="str">
        <f>IF(       0&lt;0.01,"***",IF(       0&lt;0.05,"**",IF(       0&lt;0.1,"*","NS")))</f>
        <v>***</v>
      </c>
      <c r="G33" s="296" t="s">
        <v>2104</v>
      </c>
      <c r="H33" s="4">
        <v>64.123708789405754</v>
      </c>
      <c r="I33" s="4">
        <v>42.080490163750291</v>
      </c>
      <c r="J33" s="4">
        <v>-22.043218625655733</v>
      </c>
      <c r="K33" s="2923" t="str">
        <f>IF(       0&lt;0.01,"***",IF(       0&lt;0.05,"**",IF(       0&lt;0.1,"*","NS")))</f>
        <v>***</v>
      </c>
      <c r="L33" s="4">
        <v>36.326231604601418</v>
      </c>
      <c r="M33" s="4">
        <v>-27.797477184804418</v>
      </c>
      <c r="N33" s="2924" t="str">
        <f>IF(       0&lt;0.01,"***",IF(       0&lt;0.05,"**",IF(       0&lt;0.1,"*","NS")))</f>
        <v>***</v>
      </c>
      <c r="P33" s="296" t="s">
        <v>2223</v>
      </c>
      <c r="Q33" s="4">
        <v>58.963896643329321</v>
      </c>
      <c r="R33" s="4">
        <v>36.326231604601418</v>
      </c>
      <c r="S33" s="4">
        <v>-22.637665038727945</v>
      </c>
      <c r="T33" s="2925" t="str">
        <f>IF(       0&lt;0.01,"***",IF(       0&lt;0.05,"**",IF(       0&lt;0.1,"*","NS")))</f>
        <v>***</v>
      </c>
    </row>
    <row r="34" spans="1:20" x14ac:dyDescent="0.2">
      <c r="A34" s="296" t="s">
        <v>2001</v>
      </c>
      <c r="B34" s="4">
        <v>12.32758726265229</v>
      </c>
      <c r="C34" s="4">
        <v>5.9253366227881861</v>
      </c>
      <c r="D34" s="4">
        <v>-6.4022506398641168</v>
      </c>
      <c r="E34" s="2926" t="str">
        <f>IF(       0.011&lt;0.01,"***",IF(       0.011&lt;0.05,"**",IF(       0.011&lt;0.1,"*","NS")))</f>
        <v>**</v>
      </c>
      <c r="G34" s="296" t="s">
        <v>2105</v>
      </c>
      <c r="H34" s="4">
        <v>12.32758726265229</v>
      </c>
      <c r="I34" s="4">
        <v>6.3471897892292999</v>
      </c>
      <c r="J34" s="4">
        <v>-5.9803974734229897</v>
      </c>
      <c r="K34" s="2927" t="str">
        <f>IF(       0.014&lt;0.01,"***",IF(       0.014&lt;0.05,"**",IF(       0.014&lt;0.1,"*","NS")))</f>
        <v>**</v>
      </c>
      <c r="L34" s="4">
        <v>4.5280163909163118</v>
      </c>
      <c r="M34" s="4">
        <v>-7.7995708717359467</v>
      </c>
      <c r="N34" s="2928" t="str">
        <f>IF(       0.017&lt;0.01,"***",IF(       0.017&lt;0.05,"**",IF(       0.017&lt;0.1,"*","NS")))</f>
        <v>**</v>
      </c>
      <c r="P34" s="296" t="s">
        <v>2224</v>
      </c>
      <c r="Q34" s="4">
        <v>10.831211312684861</v>
      </c>
      <c r="R34" s="4">
        <v>4.5280163909163118</v>
      </c>
      <c r="S34" s="4">
        <v>-6.303194921768557</v>
      </c>
      <c r="T34" s="2929" t="str">
        <f>IF(       0.025&lt;0.01,"***",IF(       0.025&lt;0.05,"**",IF(       0.025&lt;0.1,"*","NS")))</f>
        <v>**</v>
      </c>
    </row>
    <row r="35" spans="1:20" x14ac:dyDescent="0.2">
      <c r="A35" s="296" t="s">
        <v>2002</v>
      </c>
      <c r="B35" s="4">
        <v>26.242336340632779</v>
      </c>
      <c r="C35" s="4">
        <v>20.45503699070478</v>
      </c>
      <c r="D35" s="4">
        <v>-5.7872993499280403</v>
      </c>
      <c r="E35" s="2930" t="str">
        <f>IF(       0.025&lt;0.01,"***",IF(       0.025&lt;0.05,"**",IF(       0.025&lt;0.1,"*","NS")))</f>
        <v>**</v>
      </c>
      <c r="G35" s="296" t="s">
        <v>2106</v>
      </c>
      <c r="H35" s="4">
        <v>26.242336340632779</v>
      </c>
      <c r="I35" s="4">
        <v>20.115174264945139</v>
      </c>
      <c r="J35" s="4">
        <v>-6.1271620756876546</v>
      </c>
      <c r="K35" s="2931" t="str">
        <f>IF(       0.049&lt;0.01,"***",IF(       0.049&lt;0.05,"**",IF(       0.049&lt;0.1,"*","NS")))</f>
        <v>**</v>
      </c>
      <c r="L35" s="4">
        <v>21.14208841506829</v>
      </c>
      <c r="M35" s="4">
        <v>-5.1002479255644797</v>
      </c>
      <c r="N35" s="2932" t="str">
        <f>IF(       0.077&lt;0.01,"***",IF(       0.077&lt;0.05,"**",IF(       0.077&lt;0.1,"*","NS")))</f>
        <v>*</v>
      </c>
      <c r="P35" s="296" t="s">
        <v>2225</v>
      </c>
      <c r="Q35" s="4">
        <v>24.181241993817121</v>
      </c>
      <c r="R35" s="4">
        <v>21.14208841506829</v>
      </c>
      <c r="S35" s="4">
        <v>-3.0391535787488335</v>
      </c>
      <c r="T35" s="2933" t="str">
        <f>IF(       0.263&lt;0.01,"***",IF(       0.263&lt;0.05,"**",IF(       0.263&lt;0.1,"*","NS")))</f>
        <v>NS</v>
      </c>
    </row>
    <row r="36" spans="1:20" x14ac:dyDescent="0.2">
      <c r="A36" s="296" t="s">
        <v>2003</v>
      </c>
      <c r="B36" s="4">
        <v>9.4821514427452502</v>
      </c>
      <c r="C36" s="4">
        <v>4.8422812575585867</v>
      </c>
      <c r="D36" s="4">
        <v>-4.6398701851866795</v>
      </c>
      <c r="E36" s="2934" t="str">
        <f>IF(       0&lt;0.01,"***",IF(       0&lt;0.05,"**",IF(       0&lt;0.1,"*","NS")))</f>
        <v>***</v>
      </c>
      <c r="G36" s="296" t="s">
        <v>2107</v>
      </c>
      <c r="H36" s="4">
        <v>9.4821514427452502</v>
      </c>
      <c r="I36" s="4">
        <v>5.8927025235237274</v>
      </c>
      <c r="J36" s="4">
        <v>-3.5894489192215322</v>
      </c>
      <c r="K36" s="2935" t="str">
        <f>IF(       0.01&lt;0.01,"***",IF(       0.01&lt;0.05,"**",IF(       0.01&lt;0.1,"*","NS")))</f>
        <v>**</v>
      </c>
      <c r="L36" s="4">
        <v>1.0868590009923169</v>
      </c>
      <c r="M36" s="4">
        <v>-8.3952924417528632</v>
      </c>
      <c r="N36" s="2936" t="str">
        <f>IF(       0&lt;0.01,"***",IF(       0&lt;0.05,"**",IF(       0&lt;0.1,"*","NS")))</f>
        <v>***</v>
      </c>
      <c r="P36" s="296" t="s">
        <v>2226</v>
      </c>
      <c r="Q36" s="4">
        <v>8.500868442693104</v>
      </c>
      <c r="R36" s="4">
        <v>1.0868590009923169</v>
      </c>
      <c r="S36" s="4">
        <v>-7.4140094417007365</v>
      </c>
      <c r="T36" s="2937" t="str">
        <f>IF(       0&lt;0.01,"***",IF(       0&lt;0.05,"**",IF(       0&lt;0.1,"*","NS")))</f>
        <v>***</v>
      </c>
    </row>
    <row r="37" spans="1:20" x14ac:dyDescent="0.2">
      <c r="A37" s="296" t="s">
        <v>5835</v>
      </c>
      <c r="B37" s="4">
        <v>33.605379178762057</v>
      </c>
      <c r="C37" s="4">
        <v>21.320419883322192</v>
      </c>
      <c r="D37" s="4">
        <v>-12.284959295439453</v>
      </c>
      <c r="E37" s="2938" t="str">
        <f>IF(       0&lt;0.01,"***",IF(       0&lt;0.05,"**",IF(       0&lt;0.1,"*","NS")))</f>
        <v>***</v>
      </c>
      <c r="G37" s="296" t="s">
        <v>5835</v>
      </c>
      <c r="H37" s="4">
        <v>33.605379178762057</v>
      </c>
      <c r="I37" s="4">
        <v>21.944786090751801</v>
      </c>
      <c r="J37" s="4">
        <v>-11.660593088010373</v>
      </c>
      <c r="K37" s="2939" t="str">
        <f>IF(       0&lt;0.01,"***",IF(       0&lt;0.05,"**",IF(       0&lt;0.1,"*","NS")))</f>
        <v>***</v>
      </c>
      <c r="L37" s="4">
        <v>19.569424664874379</v>
      </c>
      <c r="M37" s="4">
        <v>-14.03595451388766</v>
      </c>
      <c r="N37" s="2940" t="str">
        <f>IF(       0&lt;0.01,"***",IF(       0&lt;0.05,"**",IF(       0&lt;0.1,"*","NS")))</f>
        <v>***</v>
      </c>
      <c r="P37" s="296" t="s">
        <v>5835</v>
      </c>
      <c r="Q37" s="4">
        <v>30.29274824407922</v>
      </c>
      <c r="R37" s="4">
        <v>19.569424664874379</v>
      </c>
      <c r="S37" s="4">
        <v>-10.723323579205211</v>
      </c>
      <c r="T37" s="2941" t="str">
        <f>IF(       0&lt;0.01,"***",IF(       0&lt;0.05,"**",IF(       0&lt;0.1,"*","NS")))</f>
        <v>***</v>
      </c>
    </row>
    <row r="39" spans="1:20" x14ac:dyDescent="0.2">
      <c r="A39" s="296" t="s">
        <v>2004</v>
      </c>
      <c r="G39" s="296" t="s">
        <v>2108</v>
      </c>
      <c r="P39" s="296" t="s">
        <v>2227</v>
      </c>
    </row>
    <row r="40" spans="1:20" s="3" customFormat="1" x14ac:dyDescent="0.2">
      <c r="A40" s="5910" t="s">
        <v>2005</v>
      </c>
      <c r="B40" s="5911" t="s">
        <v>2006</v>
      </c>
      <c r="C40" s="5912" t="s">
        <v>2007</v>
      </c>
      <c r="D40" s="5913" t="s">
        <v>2008</v>
      </c>
      <c r="E40" s="5914" t="s">
        <v>2009</v>
      </c>
      <c r="G40" s="5915" t="s">
        <v>2109</v>
      </c>
      <c r="H40" s="5916" t="s">
        <v>2110</v>
      </c>
      <c r="I40" s="5917" t="s">
        <v>2111</v>
      </c>
      <c r="J40" s="5918" t="s">
        <v>2112</v>
      </c>
      <c r="K40" s="5919" t="s">
        <v>2113</v>
      </c>
      <c r="L40" s="5920" t="s">
        <v>2176</v>
      </c>
      <c r="M40" s="5921" t="s">
        <v>2177</v>
      </c>
      <c r="N40" s="5922" t="s">
        <v>2178</v>
      </c>
      <c r="P40" s="5923" t="s">
        <v>2228</v>
      </c>
      <c r="Q40" s="5924" t="s">
        <v>2229</v>
      </c>
      <c r="R40" s="5925" t="s">
        <v>2230</v>
      </c>
      <c r="S40" s="5926" t="s">
        <v>2231</v>
      </c>
      <c r="T40" s="5927" t="s">
        <v>2232</v>
      </c>
    </row>
    <row r="41" spans="1:20" x14ac:dyDescent="0.2">
      <c r="A41" s="296" t="s">
        <v>2010</v>
      </c>
      <c r="B41" s="4">
        <v>15.02722804584155</v>
      </c>
      <c r="C41" s="4">
        <v>9.2889716694627822</v>
      </c>
      <c r="D41" s="4">
        <v>-5.7382563763787715</v>
      </c>
      <c r="E41" s="2942" t="str">
        <f>IF(       0&lt;0.01,"***",IF(       0&lt;0.05,"**",IF(       0&lt;0.1,"*","NS")))</f>
        <v>***</v>
      </c>
      <c r="G41" s="296" t="s">
        <v>2114</v>
      </c>
      <c r="H41" s="4">
        <v>15.02722804584155</v>
      </c>
      <c r="I41" s="4">
        <v>9.8019487827269796</v>
      </c>
      <c r="J41" s="4">
        <v>-5.2252792631145342</v>
      </c>
      <c r="K41" s="2943" t="str">
        <f>IF(       0.003&lt;0.01,"***",IF(       0.003&lt;0.05,"**",IF(       0.003&lt;0.1,"*","NS")))</f>
        <v>***</v>
      </c>
      <c r="L41" s="4">
        <v>6.8958244934911503</v>
      </c>
      <c r="M41" s="4">
        <v>-8.1314035523504522</v>
      </c>
      <c r="N41" s="2944" t="str">
        <f>IF(       0.002&lt;0.01,"***",IF(       0.002&lt;0.05,"**",IF(       0.002&lt;0.1,"*","NS")))</f>
        <v>***</v>
      </c>
      <c r="P41" s="296" t="s">
        <v>2233</v>
      </c>
      <c r="Q41" s="4">
        <v>13.25880293579625</v>
      </c>
      <c r="R41" s="4">
        <v>6.8958244934911503</v>
      </c>
      <c r="S41" s="4">
        <v>-6.3629784423050451</v>
      </c>
      <c r="T41" s="2945" t="str">
        <f>IF(       0.018&lt;0.01,"***",IF(       0.018&lt;0.05,"**",IF(       0.018&lt;0.1,"*","NS")))</f>
        <v>**</v>
      </c>
    </row>
    <row r="42" spans="1:20" x14ac:dyDescent="0.2">
      <c r="A42" s="296" t="s">
        <v>2011</v>
      </c>
      <c r="B42" s="4">
        <v>36.363796289251447</v>
      </c>
      <c r="C42" s="4">
        <v>27.331572937469371</v>
      </c>
      <c r="D42" s="4">
        <v>-9.0322233517820614</v>
      </c>
      <c r="E42" s="2946" t="str">
        <f>IF(       0.006&lt;0.01,"***",IF(       0.006&lt;0.05,"**",IF(       0.006&lt;0.1,"*","NS")))</f>
        <v>***</v>
      </c>
      <c r="G42" s="296" t="s">
        <v>2115</v>
      </c>
      <c r="H42" s="4">
        <v>36.363796289251447</v>
      </c>
      <c r="I42" s="4">
        <v>25.923640458265641</v>
      </c>
      <c r="J42" s="4">
        <v>-10.440155830985876</v>
      </c>
      <c r="K42" s="2947" t="str">
        <f>IF(       0.003&lt;0.01,"***",IF(       0.003&lt;0.05,"**",IF(       0.003&lt;0.1,"*","NS")))</f>
        <v>***</v>
      </c>
      <c r="L42" s="4">
        <v>31.126921586567789</v>
      </c>
      <c r="M42" s="4">
        <v>-5.2368747026836555</v>
      </c>
      <c r="N42" s="2948" t="str">
        <f>IF(       0.313&lt;0.01,"***",IF(       0.313&lt;0.05,"**",IF(       0.313&lt;0.1,"*","NS")))</f>
        <v>NS</v>
      </c>
      <c r="P42" s="296" t="s">
        <v>2234</v>
      </c>
      <c r="Q42" s="4">
        <v>33.861782405615187</v>
      </c>
      <c r="R42" s="4">
        <v>31.126921586567789</v>
      </c>
      <c r="S42" s="4">
        <v>-2.7348608190473782</v>
      </c>
      <c r="T42" s="2949" t="str">
        <f>IF(       0.585&lt;0.01,"***",IF(       0.585&lt;0.05,"**",IF(       0.585&lt;0.1,"*","NS")))</f>
        <v>NS</v>
      </c>
    </row>
    <row r="43" spans="1:20" x14ac:dyDescent="0.2">
      <c r="A43" s="296" t="s">
        <v>2012</v>
      </c>
      <c r="B43" s="4">
        <v>16.454819319119071</v>
      </c>
      <c r="C43" s="4">
        <v>10.43853850652336</v>
      </c>
      <c r="D43" s="4">
        <v>-6.0162808125957286</v>
      </c>
      <c r="E43" s="2950" t="str">
        <f>IF(       0.048&lt;0.01,"***",IF(       0.048&lt;0.05,"**",IF(       0.048&lt;0.1,"*","NS")))</f>
        <v>**</v>
      </c>
      <c r="G43" s="296" t="s">
        <v>2116</v>
      </c>
      <c r="H43" s="4">
        <v>16.454819319119071</v>
      </c>
      <c r="I43" s="4">
        <v>11.63412592627075</v>
      </c>
      <c r="J43" s="4">
        <v>-4.8206933928483222</v>
      </c>
      <c r="K43" s="2951" t="str">
        <f>IF(       0.096&lt;0.01,"***",IF(       0.096&lt;0.05,"**",IF(       0.096&lt;0.1,"*","NS")))</f>
        <v>*</v>
      </c>
      <c r="L43" s="4">
        <v>6.2796631302124002</v>
      </c>
      <c r="M43" s="4">
        <v>-10.175156188906675</v>
      </c>
      <c r="N43" s="2952" t="str">
        <f>IF(       0.034&lt;0.01,"***",IF(       0.034&lt;0.05,"**",IF(       0.034&lt;0.1,"*","NS")))</f>
        <v>**</v>
      </c>
      <c r="P43" s="296" t="s">
        <v>2235</v>
      </c>
      <c r="Q43" s="4">
        <v>15.311117551140351</v>
      </c>
      <c r="R43" s="4">
        <v>6.2796631302124002</v>
      </c>
      <c r="S43" s="4">
        <v>-9.0314544209280392</v>
      </c>
      <c r="T43" s="2953" t="str">
        <f>IF(       0.038&lt;0.01,"***",IF(       0.038&lt;0.05,"**",IF(       0.038&lt;0.1,"*","NS")))</f>
        <v>**</v>
      </c>
    </row>
    <row r="44" spans="1:20" x14ac:dyDescent="0.2">
      <c r="A44" s="296" t="s">
        <v>2013</v>
      </c>
      <c r="B44" s="4">
        <v>13.326609699694121</v>
      </c>
      <c r="C44" s="4">
        <v>7.2902185060566067</v>
      </c>
      <c r="D44" s="4">
        <v>-6.0363911936375372</v>
      </c>
      <c r="E44" s="2954" t="str">
        <f>IF(       0&lt;0.01,"***",IF(       0&lt;0.05,"**",IF(       0&lt;0.1,"*","NS")))</f>
        <v>***</v>
      </c>
      <c r="G44" s="296" t="s">
        <v>2117</v>
      </c>
      <c r="H44" s="4">
        <v>13.326609699694121</v>
      </c>
      <c r="I44" s="4">
        <v>7.6664184274456444</v>
      </c>
      <c r="J44" s="4">
        <v>-5.6601912722484542</v>
      </c>
      <c r="K44" s="2955" t="str">
        <f>IF(       0.005&lt;0.01,"***",IF(       0.005&lt;0.05,"**",IF(       0.005&lt;0.1,"*","NS")))</f>
        <v>***</v>
      </c>
      <c r="L44" s="4">
        <v>5.721338133555073</v>
      </c>
      <c r="M44" s="4">
        <v>-7.6052715661390113</v>
      </c>
      <c r="N44" s="2956" t="str">
        <f>IF(       0.006&lt;0.01,"***",IF(       0.006&lt;0.05,"**",IF(       0.006&lt;0.1,"*","NS")))</f>
        <v>***</v>
      </c>
      <c r="P44" s="296" t="s">
        <v>2236</v>
      </c>
      <c r="Q44" s="4">
        <v>11.7439235352695</v>
      </c>
      <c r="R44" s="4">
        <v>5.721338133555073</v>
      </c>
      <c r="S44" s="4">
        <v>-6.0225854017144371</v>
      </c>
      <c r="T44" s="2957" t="str">
        <f>IF(       0.036&lt;0.01,"***",IF(       0.036&lt;0.05,"**",IF(       0.036&lt;0.1,"*","NS")))</f>
        <v>**</v>
      </c>
    </row>
    <row r="45" spans="1:20" x14ac:dyDescent="0.2">
      <c r="A45" s="296" t="s">
        <v>2014</v>
      </c>
      <c r="B45" s="4">
        <v>37.84187661146327</v>
      </c>
      <c r="C45" s="4">
        <v>28.953862752763911</v>
      </c>
      <c r="D45" s="4">
        <v>-8.888013858699356</v>
      </c>
      <c r="E45" s="2958" t="str">
        <f>IF(       0.004&lt;0.01,"***",IF(       0.004&lt;0.05,"**",IF(       0.004&lt;0.1,"*","NS")))</f>
        <v>***</v>
      </c>
      <c r="G45" s="296" t="s">
        <v>2118</v>
      </c>
      <c r="H45" s="4">
        <v>37.84187661146327</v>
      </c>
      <c r="I45" s="4">
        <v>30.016143594400351</v>
      </c>
      <c r="J45" s="4">
        <v>-7.8257330170628814</v>
      </c>
      <c r="K45" s="2959" t="str">
        <f>IF(       0.009&lt;0.01,"***",IF(       0.009&lt;0.05,"**",IF(       0.009&lt;0.1,"*","NS")))</f>
        <v>***</v>
      </c>
      <c r="L45" s="4">
        <v>23.510922697064011</v>
      </c>
      <c r="M45" s="4">
        <v>-14.330953914399164</v>
      </c>
      <c r="N45" s="2960" t="str">
        <f>IF(       0.025&lt;0.01,"***",IF(       0.025&lt;0.05,"**",IF(       0.025&lt;0.1,"*","NS")))</f>
        <v>**</v>
      </c>
      <c r="P45" s="296" t="s">
        <v>2237</v>
      </c>
      <c r="Q45" s="4">
        <v>35.801870899926897</v>
      </c>
      <c r="R45" s="4">
        <v>23.510922697064011</v>
      </c>
      <c r="S45" s="4">
        <v>-12.290948202862916</v>
      </c>
      <c r="T45" s="2961" t="str">
        <f>IF(       0.043&lt;0.01,"***",IF(       0.043&lt;0.05,"**",IF(       0.043&lt;0.1,"*","NS")))</f>
        <v>**</v>
      </c>
    </row>
    <row r="46" spans="1:20" x14ac:dyDescent="0.2">
      <c r="A46" s="296" t="s">
        <v>2015</v>
      </c>
      <c r="B46" s="4">
        <v>28.18624498452229</v>
      </c>
      <c r="C46" s="4">
        <v>22.287561700684879</v>
      </c>
      <c r="D46" s="4">
        <v>-5.8986832838373777</v>
      </c>
      <c r="E46" s="2962" t="str">
        <f>IF(       0.016&lt;0.01,"***",IF(       0.016&lt;0.05,"**",IF(       0.016&lt;0.1,"*","NS")))</f>
        <v>**</v>
      </c>
      <c r="G46" s="296" t="s">
        <v>2119</v>
      </c>
      <c r="H46" s="4">
        <v>28.18624498452229</v>
      </c>
      <c r="I46" s="4">
        <v>23.239331231822259</v>
      </c>
      <c r="J46" s="4">
        <v>-4.9469137527000013</v>
      </c>
      <c r="K46" s="2963" t="str">
        <f>IF(       0.077&lt;0.01,"***",IF(       0.077&lt;0.05,"**",IF(       0.077&lt;0.1,"*","NS")))</f>
        <v>*</v>
      </c>
      <c r="L46" s="4">
        <v>18.973209557756981</v>
      </c>
      <c r="M46" s="4">
        <v>-9.2130354267652947</v>
      </c>
      <c r="N46" s="2964" t="str">
        <f>IF(       0.041&lt;0.01,"***",IF(       0.041&lt;0.05,"**",IF(       0.041&lt;0.1,"*","NS")))</f>
        <v>**</v>
      </c>
      <c r="P46" s="296" t="s">
        <v>2238</v>
      </c>
      <c r="Q46" s="4">
        <v>26.855230993963961</v>
      </c>
      <c r="R46" s="4">
        <v>18.973209557756981</v>
      </c>
      <c r="S46" s="4">
        <v>-7.8820214362069985</v>
      </c>
      <c r="T46" s="2965" t="str">
        <f>IF(       0.08&lt;0.01,"***",IF(       0.08&lt;0.05,"**",IF(       0.08&lt;0.1,"*","NS")))</f>
        <v>*</v>
      </c>
    </row>
    <row r="47" spans="1:20" x14ac:dyDescent="0.2">
      <c r="A47" s="296" t="s">
        <v>2016</v>
      </c>
      <c r="B47" s="4" t="s">
        <v>6067</v>
      </c>
      <c r="C47" s="4" t="s">
        <v>6067</v>
      </c>
      <c r="D47" s="4" t="s">
        <v>6067</v>
      </c>
      <c r="E47" s="4" t="s">
        <v>6067</v>
      </c>
      <c r="G47" s="296" t="s">
        <v>2120</v>
      </c>
      <c r="H47" s="4" t="s">
        <v>6067</v>
      </c>
      <c r="I47" s="4" t="s">
        <v>6067</v>
      </c>
      <c r="J47" s="4" t="s">
        <v>6067</v>
      </c>
      <c r="K47" s="4" t="s">
        <v>6067</v>
      </c>
      <c r="L47" s="4" t="s">
        <v>6067</v>
      </c>
      <c r="M47" s="4" t="s">
        <v>6067</v>
      </c>
      <c r="N47" s="4" t="s">
        <v>6067</v>
      </c>
      <c r="P47" s="296" t="s">
        <v>2239</v>
      </c>
      <c r="Q47" s="4" t="s">
        <v>6067</v>
      </c>
      <c r="R47" s="4" t="s">
        <v>6067</v>
      </c>
      <c r="S47" s="4" t="s">
        <v>6067</v>
      </c>
      <c r="T47" s="4" t="s">
        <v>6067</v>
      </c>
    </row>
    <row r="48" spans="1:20" x14ac:dyDescent="0.2">
      <c r="A48" s="296" t="s">
        <v>2017</v>
      </c>
      <c r="B48" s="4">
        <v>5.8061536514956291</v>
      </c>
      <c r="C48" s="4">
        <v>3.9117123165088801</v>
      </c>
      <c r="D48" s="4">
        <v>-1.8944413349867366</v>
      </c>
      <c r="E48" s="2966" t="str">
        <f>IF(       0.247&lt;0.01,"***",IF(       0.247&lt;0.05,"**",IF(       0.247&lt;0.1,"*","NS")))</f>
        <v>NS</v>
      </c>
      <c r="G48" s="296" t="s">
        <v>2121</v>
      </c>
      <c r="H48" s="4">
        <v>5.8061536514956291</v>
      </c>
      <c r="I48" s="4">
        <v>5.2204707241681172</v>
      </c>
      <c r="J48" s="4">
        <v>-0.58568292732751348</v>
      </c>
      <c r="K48" s="2967" t="str">
        <f>IF(       0.769&lt;0.01,"***",IF(       0.769&lt;0.05,"**",IF(       0.769&lt;0.1,"*","NS")))</f>
        <v>NS</v>
      </c>
      <c r="L48" s="4">
        <v>0</v>
      </c>
      <c r="M48" s="4">
        <v>-5.806153651495622</v>
      </c>
      <c r="N48" s="2968" t="str">
        <f>IF(       0&lt;0.01,"***",IF(       0&lt;0.05,"**",IF(       0&lt;0.1,"*","NS")))</f>
        <v>***</v>
      </c>
      <c r="P48" s="296" t="s">
        <v>2240</v>
      </c>
      <c r="Q48" s="4">
        <v>5.7121409027978958</v>
      </c>
      <c r="R48" s="4">
        <v>0</v>
      </c>
      <c r="S48" s="4">
        <v>-5.7121409027978904</v>
      </c>
      <c r="T48" s="2969" t="str">
        <f>IF(       0&lt;0.01,"***",IF(       0&lt;0.05,"**",IF(       0&lt;0.1,"*","NS")))</f>
        <v>***</v>
      </c>
    </row>
    <row r="49" spans="1:20" x14ac:dyDescent="0.2">
      <c r="A49" s="296" t="s">
        <v>2018</v>
      </c>
      <c r="B49" s="4">
        <v>29.303124602288211</v>
      </c>
      <c r="C49" s="4">
        <v>20.25132157170713</v>
      </c>
      <c r="D49" s="4">
        <v>-9.0518030305810768</v>
      </c>
      <c r="E49" s="2970" t="str">
        <f>IF(       0.004&lt;0.01,"***",IF(       0.004&lt;0.05,"**",IF(       0.004&lt;0.1,"*","NS")))</f>
        <v>***</v>
      </c>
      <c r="G49" s="296" t="s">
        <v>2122</v>
      </c>
      <c r="H49" s="4">
        <v>29.303124602288211</v>
      </c>
      <c r="I49" s="4">
        <v>22.10897110859548</v>
      </c>
      <c r="J49" s="4">
        <v>-7.1941534936926832</v>
      </c>
      <c r="K49" s="2971" t="str">
        <f>IF(       0.039&lt;0.01,"***",IF(       0.039&lt;0.05,"**",IF(       0.039&lt;0.1,"*","NS")))</f>
        <v>**</v>
      </c>
      <c r="L49" s="4">
        <v>16.951662178143579</v>
      </c>
      <c r="M49" s="4">
        <v>-12.351462424144694</v>
      </c>
      <c r="N49" s="2972" t="str">
        <f>IF(       0.001&lt;0.01,"***",IF(       0.001&lt;0.05,"**",IF(       0.001&lt;0.1,"*","NS")))</f>
        <v>***</v>
      </c>
      <c r="P49" s="296" t="s">
        <v>2241</v>
      </c>
      <c r="Q49" s="4">
        <v>27.17532355892439</v>
      </c>
      <c r="R49" s="4">
        <v>16.951662178143579</v>
      </c>
      <c r="S49" s="4">
        <v>-10.223661380780792</v>
      </c>
      <c r="T49" s="2973" t="str">
        <f>IF(       0.003&lt;0.01,"***",IF(       0.003&lt;0.05,"**",IF(       0.003&lt;0.1,"*","NS")))</f>
        <v>***</v>
      </c>
    </row>
    <row r="50" spans="1:20" x14ac:dyDescent="0.2">
      <c r="A50" s="296" t="s">
        <v>2019</v>
      </c>
      <c r="B50" s="4">
        <v>10.283375502019441</v>
      </c>
      <c r="C50" s="4">
        <v>6.1677528971786444</v>
      </c>
      <c r="D50" s="4">
        <v>-4.1156226048408291</v>
      </c>
      <c r="E50" s="2974" t="str">
        <f>IF(       0.004&lt;0.01,"***",IF(       0.004&lt;0.05,"**",IF(       0.004&lt;0.1,"*","NS")))</f>
        <v>***</v>
      </c>
      <c r="G50" s="296" t="s">
        <v>2123</v>
      </c>
      <c r="H50" s="4">
        <v>10.283375502019441</v>
      </c>
      <c r="I50" s="4">
        <v>6.7481532648853939</v>
      </c>
      <c r="J50" s="4">
        <v>-3.5352222371340427</v>
      </c>
      <c r="K50" s="2975" t="str">
        <f>IF(       0.02&lt;0.01,"***",IF(       0.02&lt;0.05,"**",IF(       0.02&lt;0.1,"*","NS")))</f>
        <v>**</v>
      </c>
      <c r="L50" s="4">
        <v>4.2925314010553421</v>
      </c>
      <c r="M50" s="4">
        <v>-5.9908441009640931</v>
      </c>
      <c r="N50" s="2976" t="str">
        <f>IF(       0&lt;0.01,"***",IF(       0&lt;0.05,"**",IF(       0&lt;0.1,"*","NS")))</f>
        <v>***</v>
      </c>
      <c r="P50" s="296" t="s">
        <v>2242</v>
      </c>
      <c r="Q50" s="4">
        <v>8.9931073543253106</v>
      </c>
      <c r="R50" s="4">
        <v>4.2925314010553421</v>
      </c>
      <c r="S50" s="4">
        <v>-4.7005759532700564</v>
      </c>
      <c r="T50" s="2977" t="str">
        <f>IF(       0&lt;0.01,"***",IF(       0&lt;0.05,"**",IF(       0&lt;0.1,"*","NS")))</f>
        <v>***</v>
      </c>
    </row>
    <row r="51" spans="1:20" x14ac:dyDescent="0.2">
      <c r="A51" s="296" t="s">
        <v>2020</v>
      </c>
      <c r="B51" s="4">
        <v>43.25485645074658</v>
      </c>
      <c r="C51" s="4">
        <v>33.358864499213929</v>
      </c>
      <c r="D51" s="4">
        <v>-9.8959919515326078</v>
      </c>
      <c r="E51" s="2978" t="str">
        <f>IF(       0.001&lt;0.01,"***",IF(       0.001&lt;0.05,"**",IF(       0.001&lt;0.1,"*","NS")))</f>
        <v>***</v>
      </c>
      <c r="G51" s="296" t="s">
        <v>2124</v>
      </c>
      <c r="H51" s="4">
        <v>43.25485645074658</v>
      </c>
      <c r="I51" s="4">
        <v>31.289054507279211</v>
      </c>
      <c r="J51" s="4">
        <v>-11.965801943467413</v>
      </c>
      <c r="K51" s="2979" t="str">
        <f>IF(       0&lt;0.01,"***",IF(       0&lt;0.05,"**",IF(       0&lt;0.1,"*","NS")))</f>
        <v>***</v>
      </c>
      <c r="L51" s="4">
        <v>39.261688916688662</v>
      </c>
      <c r="M51" s="4">
        <v>-3.9931675340578896</v>
      </c>
      <c r="N51" s="2980" t="str">
        <f>IF(       0.439&lt;0.01,"***",IF(       0.439&lt;0.05,"**",IF(       0.439&lt;0.1,"*","NS")))</f>
        <v>NS</v>
      </c>
      <c r="P51" s="296" t="s">
        <v>2243</v>
      </c>
      <c r="Q51" s="4">
        <v>40.663387746438517</v>
      </c>
      <c r="R51" s="4">
        <v>39.261688916688662</v>
      </c>
      <c r="S51" s="4">
        <v>-1.4016988297498429</v>
      </c>
      <c r="T51" s="2981" t="str">
        <f>IF(       0.782&lt;0.01,"***",IF(       0.782&lt;0.05,"**",IF(       0.782&lt;0.1,"*","NS")))</f>
        <v>NS</v>
      </c>
    </row>
    <row r="52" spans="1:20" x14ac:dyDescent="0.2">
      <c r="A52" s="296" t="s">
        <v>2021</v>
      </c>
      <c r="B52" s="4">
        <v>59.101012245191683</v>
      </c>
      <c r="C52" s="4">
        <v>40.715104931096761</v>
      </c>
      <c r="D52" s="4">
        <v>-18.385907314094883</v>
      </c>
      <c r="E52" s="2982" t="str">
        <f>IF(       0&lt;0.01,"***",IF(       0&lt;0.05,"**",IF(       0&lt;0.1,"*","NS")))</f>
        <v>***</v>
      </c>
      <c r="G52" s="296" t="s">
        <v>2125</v>
      </c>
      <c r="H52" s="4">
        <v>59.101012245191683</v>
      </c>
      <c r="I52" s="4">
        <v>44.62801956739208</v>
      </c>
      <c r="J52" s="4">
        <v>-14.47299267779969</v>
      </c>
      <c r="K52" s="2983" t="str">
        <f>IF(       0&lt;0.01,"***",IF(       0&lt;0.05,"**",IF(       0&lt;0.1,"*","NS")))</f>
        <v>***</v>
      </c>
      <c r="L52" s="4">
        <v>28.07706462095156</v>
      </c>
      <c r="M52" s="4">
        <v>-31.023947624239621</v>
      </c>
      <c r="N52" s="2984" t="str">
        <f>IF(       0&lt;0.01,"***",IF(       0&lt;0.05,"**",IF(       0&lt;0.1,"*","NS")))</f>
        <v>***</v>
      </c>
      <c r="P52" s="296" t="s">
        <v>2244</v>
      </c>
      <c r="Q52" s="4">
        <v>56.237333486484737</v>
      </c>
      <c r="R52" s="4">
        <v>28.07706462095156</v>
      </c>
      <c r="S52" s="4">
        <v>-28.160268865533116</v>
      </c>
      <c r="T52" s="2985" t="str">
        <f>IF(       0&lt;0.01,"***",IF(       0&lt;0.05,"**",IF(       0&lt;0.1,"*","NS")))</f>
        <v>***</v>
      </c>
    </row>
    <row r="53" spans="1:20" x14ac:dyDescent="0.2">
      <c r="A53" s="296" t="s">
        <v>2022</v>
      </c>
      <c r="B53" s="4">
        <v>10.19488470076384</v>
      </c>
      <c r="C53" s="4">
        <v>5.8466809376401114</v>
      </c>
      <c r="D53" s="4">
        <v>-4.3482037631237143</v>
      </c>
      <c r="E53" s="2986" t="str">
        <f>IF(       0.051&lt;0.01,"***",IF(       0.051&lt;0.05,"**",IF(       0.051&lt;0.1,"*","NS")))</f>
        <v>*</v>
      </c>
      <c r="G53" s="296" t="s">
        <v>2126</v>
      </c>
      <c r="H53" s="4">
        <v>10.19488470076384</v>
      </c>
      <c r="I53" s="4">
        <v>7.1320482331962776</v>
      </c>
      <c r="J53" s="4">
        <v>-3.0628364675675601</v>
      </c>
      <c r="K53" s="2987" t="str">
        <f>IF(       0.102&lt;0.01,"***",IF(       0.102&lt;0.05,"**",IF(       0.102&lt;0.1,"*","NS")))</f>
        <v>NS</v>
      </c>
      <c r="L53" s="4">
        <v>2.3125552845147421</v>
      </c>
      <c r="M53" s="4">
        <v>-7.8823294162491155</v>
      </c>
      <c r="N53" s="2988" t="str">
        <f>IF(       0.049&lt;0.01,"***",IF(       0.049&lt;0.05,"**",IF(       0.049&lt;0.1,"*","NS")))</f>
        <v>**</v>
      </c>
      <c r="P53" s="296" t="s">
        <v>2245</v>
      </c>
      <c r="Q53" s="4">
        <v>9.5984984109102989</v>
      </c>
      <c r="R53" s="4">
        <v>2.3125552845147421</v>
      </c>
      <c r="S53" s="4">
        <v>-7.2859431263956047</v>
      </c>
      <c r="T53" s="2989" t="str">
        <f>IF(       0.053&lt;0.01,"***",IF(       0.053&lt;0.05,"**",IF(       0.053&lt;0.1,"*","NS")))</f>
        <v>*</v>
      </c>
    </row>
    <row r="54" spans="1:20" x14ac:dyDescent="0.2">
      <c r="A54" s="296" t="s">
        <v>2023</v>
      </c>
      <c r="B54" s="4">
        <v>24.507002580132351</v>
      </c>
      <c r="C54" s="4">
        <v>18.820400418902661</v>
      </c>
      <c r="D54" s="4">
        <v>-5.68660216122964</v>
      </c>
      <c r="E54" s="2990" t="str">
        <f>IF(       0.04&lt;0.01,"***",IF(       0.04&lt;0.05,"**",IF(       0.04&lt;0.1,"*","NS")))</f>
        <v>**</v>
      </c>
      <c r="G54" s="296" t="s">
        <v>2127</v>
      </c>
      <c r="H54" s="4">
        <v>24.507002580132351</v>
      </c>
      <c r="I54" s="4">
        <v>19.793346545611719</v>
      </c>
      <c r="J54" s="4">
        <v>-4.7136560345205876</v>
      </c>
      <c r="K54" s="2991" t="str">
        <f>IF(       0.101&lt;0.01,"***",IF(       0.101&lt;0.05,"**",IF(       0.101&lt;0.1,"*","NS")))</f>
        <v>NS</v>
      </c>
      <c r="L54" s="4">
        <v>16.419802246931191</v>
      </c>
      <c r="M54" s="4">
        <v>-8.0872003332011762</v>
      </c>
      <c r="N54" s="2992" t="str">
        <f>IF(       0.026&lt;0.01,"***",IF(       0.026&lt;0.05,"**",IF(       0.026&lt;0.1,"*","NS")))</f>
        <v>**</v>
      </c>
      <c r="P54" s="296" t="s">
        <v>2246</v>
      </c>
      <c r="Q54" s="4">
        <v>22.98352305501016</v>
      </c>
      <c r="R54" s="4">
        <v>16.419802246931191</v>
      </c>
      <c r="S54" s="4">
        <v>-6.5637208080789824</v>
      </c>
      <c r="T54" s="2993" t="str">
        <f>IF(       0.041&lt;0.01,"***",IF(       0.041&lt;0.05,"**",IF(       0.041&lt;0.1,"*","NS")))</f>
        <v>**</v>
      </c>
    </row>
    <row r="55" spans="1:20" x14ac:dyDescent="0.2">
      <c r="A55" s="296" t="s">
        <v>2024</v>
      </c>
      <c r="B55" s="4">
        <v>9.4018817946953224</v>
      </c>
      <c r="C55" s="4">
        <v>7.3055127737816159</v>
      </c>
      <c r="D55" s="4">
        <v>-2.0963690209136816</v>
      </c>
      <c r="E55" s="2994" t="str">
        <f>IF(       0.193&lt;0.01,"***",IF(       0.193&lt;0.05,"**",IF(       0.193&lt;0.1,"*","NS")))</f>
        <v>NS</v>
      </c>
      <c r="G55" s="296" t="s">
        <v>2128</v>
      </c>
      <c r="H55" s="4">
        <v>9.4018817946953224</v>
      </c>
      <c r="I55" s="4">
        <v>7.7206527448509554</v>
      </c>
      <c r="J55" s="4">
        <v>-1.6812290498443676</v>
      </c>
      <c r="K55" s="2995" t="str">
        <f>IF(       0.406&lt;0.01,"***",IF(       0.406&lt;0.05,"**",IF(       0.406&lt;0.1,"*","NS")))</f>
        <v>NS</v>
      </c>
      <c r="L55" s="4">
        <v>6.1770173195243441</v>
      </c>
      <c r="M55" s="4">
        <v>-3.2248644751709801</v>
      </c>
      <c r="N55" s="2996" t="str">
        <f>IF(       0.257&lt;0.01,"***",IF(       0.257&lt;0.05,"**",IF(       0.257&lt;0.1,"*","NS")))</f>
        <v>NS</v>
      </c>
      <c r="P55" s="296" t="s">
        <v>2247</v>
      </c>
      <c r="Q55" s="4">
        <v>8.9935161297353261</v>
      </c>
      <c r="R55" s="4">
        <v>6.1770173195243441</v>
      </c>
      <c r="S55" s="4">
        <v>-2.8164988102109549</v>
      </c>
      <c r="T55" s="2997" t="str">
        <f>IF(       0.336&lt;0.01,"***",IF(       0.336&lt;0.05,"**",IF(       0.336&lt;0.1,"*","NS")))</f>
        <v>NS</v>
      </c>
    </row>
    <row r="56" spans="1:20" x14ac:dyDescent="0.2">
      <c r="A56" s="296" t="s">
        <v>5835</v>
      </c>
      <c r="B56" s="4">
        <v>33.253451799751268</v>
      </c>
      <c r="C56" s="4">
        <v>21.580892331997571</v>
      </c>
      <c r="D56" s="4">
        <v>-11.672559467753679</v>
      </c>
      <c r="E56" s="2998" t="str">
        <f>IF(       0&lt;0.01,"***",IF(       0&lt;0.05,"**",IF(       0&lt;0.1,"*","NS")))</f>
        <v>***</v>
      </c>
      <c r="G56" s="296" t="s">
        <v>5835</v>
      </c>
      <c r="H56" s="4">
        <v>33.253451799751268</v>
      </c>
      <c r="I56" s="4">
        <v>22.361902087186131</v>
      </c>
      <c r="J56" s="4">
        <v>-10.891549712565032</v>
      </c>
      <c r="K56" s="2999" t="str">
        <f>IF(       0&lt;0.01,"***",IF(       0&lt;0.05,"**",IF(       0&lt;0.1,"*","NS")))</f>
        <v>***</v>
      </c>
      <c r="L56" s="4">
        <v>19.138504293300251</v>
      </c>
      <c r="M56" s="4">
        <v>-14.114947506451266</v>
      </c>
      <c r="N56" s="3000" t="str">
        <f>IF(       0&lt;0.01,"***",IF(       0&lt;0.05,"**",IF(       0&lt;0.1,"*","NS")))</f>
        <v>***</v>
      </c>
      <c r="P56" s="296" t="s">
        <v>5835</v>
      </c>
      <c r="Q56" s="4">
        <v>30.54754444234699</v>
      </c>
      <c r="R56" s="4">
        <v>19.138504293300251</v>
      </c>
      <c r="S56" s="4">
        <v>-11.409040149046151</v>
      </c>
      <c r="T56" s="3001" t="str">
        <f>IF(       0&lt;0.01,"***",IF(       0&lt;0.05,"**",IF(       0&lt;0.1,"*","NS")))</f>
        <v>***</v>
      </c>
    </row>
    <row r="58" spans="1:20" x14ac:dyDescent="0.2">
      <c r="A58" s="296" t="s">
        <v>2025</v>
      </c>
      <c r="G58" s="296" t="s">
        <v>2129</v>
      </c>
      <c r="P58" s="296" t="s">
        <v>2248</v>
      </c>
    </row>
    <row r="59" spans="1:20" s="3" customFormat="1" x14ac:dyDescent="0.2">
      <c r="A59" s="5928" t="s">
        <v>2026</v>
      </c>
      <c r="B59" s="5929" t="s">
        <v>2027</v>
      </c>
      <c r="C59" s="5930" t="s">
        <v>2028</v>
      </c>
      <c r="D59" s="5931" t="s">
        <v>2029</v>
      </c>
      <c r="E59" s="5932" t="s">
        <v>2030</v>
      </c>
      <c r="G59" s="5933" t="s">
        <v>2130</v>
      </c>
      <c r="H59" s="5934" t="s">
        <v>2131</v>
      </c>
      <c r="I59" s="5935" t="s">
        <v>2132</v>
      </c>
      <c r="J59" s="5936" t="s">
        <v>2133</v>
      </c>
      <c r="K59" s="5937" t="s">
        <v>2134</v>
      </c>
      <c r="L59" s="5938" t="s">
        <v>2179</v>
      </c>
      <c r="M59" s="5939" t="s">
        <v>2180</v>
      </c>
      <c r="N59" s="5940" t="s">
        <v>2181</v>
      </c>
      <c r="P59" s="5941" t="s">
        <v>2249</v>
      </c>
      <c r="Q59" s="5942" t="s">
        <v>2250</v>
      </c>
      <c r="R59" s="5943" t="s">
        <v>2251</v>
      </c>
      <c r="S59" s="5944" t="s">
        <v>2252</v>
      </c>
      <c r="T59" s="5945" t="s">
        <v>2253</v>
      </c>
    </row>
    <row r="60" spans="1:20" x14ac:dyDescent="0.2">
      <c r="A60" s="296" t="s">
        <v>2031</v>
      </c>
      <c r="B60" s="4">
        <v>9.5828932179145578</v>
      </c>
      <c r="C60" s="4">
        <v>6.1176727296277846</v>
      </c>
      <c r="D60" s="4">
        <v>-3.4652204882867728</v>
      </c>
      <c r="E60" s="3002" t="str">
        <f>IF(       0.004&lt;0.01,"***",IF(       0.004&lt;0.05,"**",IF(       0.004&lt;0.1,"*","NS")))</f>
        <v>***</v>
      </c>
      <c r="G60" s="296" t="s">
        <v>2135</v>
      </c>
      <c r="H60" s="4">
        <v>9.5828932179145578</v>
      </c>
      <c r="I60" s="4">
        <v>6.8142693785295814</v>
      </c>
      <c r="J60" s="4">
        <v>-2.768623839384964</v>
      </c>
      <c r="K60" s="3003" t="str">
        <f>IF(       0.036&lt;0.01,"***",IF(       0.036&lt;0.05,"**",IF(       0.036&lt;0.1,"*","NS")))</f>
        <v>**</v>
      </c>
      <c r="L60" s="4">
        <v>3.3568274685785391</v>
      </c>
      <c r="M60" s="4">
        <v>-6.2260657493359854</v>
      </c>
      <c r="N60" s="3004" t="str">
        <f>IF(       0&lt;0.01,"***",IF(       0&lt;0.05,"**",IF(       0&lt;0.1,"*","NS")))</f>
        <v>***</v>
      </c>
      <c r="P60" s="296" t="s">
        <v>2254</v>
      </c>
      <c r="Q60" s="4">
        <v>8.559403778697142</v>
      </c>
      <c r="R60" s="4">
        <v>3.3568274685785391</v>
      </c>
      <c r="S60" s="4">
        <v>-5.2025763101185039</v>
      </c>
      <c r="T60" s="3005" t="str">
        <f>IF(       0.002&lt;0.01,"***",IF(       0.002&lt;0.05,"**",IF(       0.002&lt;0.1,"*","NS")))</f>
        <v>***</v>
      </c>
    </row>
    <row r="61" spans="1:20" x14ac:dyDescent="0.2">
      <c r="A61" s="296" t="s">
        <v>2032</v>
      </c>
      <c r="B61" s="4">
        <v>30.22350781362481</v>
      </c>
      <c r="C61" s="4">
        <v>23.563356147265921</v>
      </c>
      <c r="D61" s="4">
        <v>-6.6601516663589493</v>
      </c>
      <c r="E61" s="3006" t="str">
        <f>IF(       0.006&lt;0.01,"***",IF(       0.006&lt;0.05,"**",IF(       0.006&lt;0.1,"*","NS")))</f>
        <v>***</v>
      </c>
      <c r="G61" s="296" t="s">
        <v>2136</v>
      </c>
      <c r="H61" s="4">
        <v>30.22350781362481</v>
      </c>
      <c r="I61" s="4">
        <v>23.3295333802206</v>
      </c>
      <c r="J61" s="4">
        <v>-6.8939744334042157</v>
      </c>
      <c r="K61" s="3007" t="str">
        <f>IF(       0.004&lt;0.01,"***",IF(       0.004&lt;0.05,"**",IF(       0.004&lt;0.1,"*","NS")))</f>
        <v>***</v>
      </c>
      <c r="L61" s="4">
        <v>24.172035712970739</v>
      </c>
      <c r="M61" s="4">
        <v>-6.0514721006540526</v>
      </c>
      <c r="N61" s="3008" t="str">
        <f>IF(       0.127&lt;0.01,"***",IF(       0.127&lt;0.05,"**",IF(       0.127&lt;0.1,"*","NS")))</f>
        <v>NS</v>
      </c>
      <c r="P61" s="296" t="s">
        <v>2255</v>
      </c>
      <c r="Q61" s="4">
        <v>28.09817425122904</v>
      </c>
      <c r="R61" s="4">
        <v>24.172035712970739</v>
      </c>
      <c r="S61" s="4">
        <v>-3.9261385382583729</v>
      </c>
      <c r="T61" s="3009" t="str">
        <f>IF(       0.288&lt;0.01,"***",IF(       0.288&lt;0.05,"**",IF(       0.288&lt;0.1,"*","NS")))</f>
        <v>NS</v>
      </c>
    </row>
    <row r="62" spans="1:20" x14ac:dyDescent="0.2">
      <c r="A62" s="296" t="s">
        <v>2033</v>
      </c>
      <c r="B62" s="4">
        <v>10.653027874507741</v>
      </c>
      <c r="C62" s="4">
        <v>9.1902341964554815</v>
      </c>
      <c r="D62" s="4">
        <v>-1.4627936780522572</v>
      </c>
      <c r="E62" s="3010" t="str">
        <f>IF(       0.506&lt;0.01,"***",IF(       0.506&lt;0.05,"**",IF(       0.506&lt;0.1,"*","NS")))</f>
        <v>NS</v>
      </c>
      <c r="G62" s="296" t="s">
        <v>2137</v>
      </c>
      <c r="H62" s="4">
        <v>10.653027874507741</v>
      </c>
      <c r="I62" s="4">
        <v>10.25125109876979</v>
      </c>
      <c r="J62" s="4">
        <v>-0.40177677573795018</v>
      </c>
      <c r="K62" s="3011" t="str">
        <f>IF(       0.844&lt;0.01,"***",IF(       0.844&lt;0.05,"**",IF(       0.844&lt;0.1,"*","NS")))</f>
        <v>NS</v>
      </c>
      <c r="L62" s="4">
        <v>6.0335530975632734</v>
      </c>
      <c r="M62" s="4">
        <v>-4.6194747769444531</v>
      </c>
      <c r="N62" s="3012" t="str">
        <f>IF(       0.152&lt;0.01,"***",IF(       0.152&lt;0.05,"**",IF(       0.152&lt;0.1,"*","NS")))</f>
        <v>NS</v>
      </c>
      <c r="P62" s="296" t="s">
        <v>2256</v>
      </c>
      <c r="Q62" s="4">
        <v>10.55055479380507</v>
      </c>
      <c r="R62" s="4">
        <v>6.0335530975632734</v>
      </c>
      <c r="S62" s="4">
        <v>-4.5170016962417305</v>
      </c>
      <c r="T62" s="3013" t="str">
        <f>IF(       0.116&lt;0.01,"***",IF(       0.116&lt;0.05,"**",IF(       0.116&lt;0.1,"*","NS")))</f>
        <v>NS</v>
      </c>
    </row>
    <row r="63" spans="1:20" x14ac:dyDescent="0.2">
      <c r="A63" s="296" t="s">
        <v>2034</v>
      </c>
      <c r="B63" s="4">
        <v>8.2395740942082831</v>
      </c>
      <c r="C63" s="4">
        <v>6.2684830649866141</v>
      </c>
      <c r="D63" s="4">
        <v>-1.9710910292216619</v>
      </c>
      <c r="E63" s="3014" t="str">
        <f>IF(       0.098&lt;0.01,"***",IF(       0.098&lt;0.05,"**",IF(       0.098&lt;0.1,"*","NS")))</f>
        <v>*</v>
      </c>
      <c r="G63" s="296" t="s">
        <v>2138</v>
      </c>
      <c r="H63" s="4">
        <v>8.2395740942082831</v>
      </c>
      <c r="I63" s="4">
        <v>5.8871953075306358</v>
      </c>
      <c r="J63" s="4">
        <v>-2.3523787866776393</v>
      </c>
      <c r="K63" s="3015" t="str">
        <f>IF(       0.033&lt;0.01,"***",IF(       0.033&lt;0.05,"**",IF(       0.033&lt;0.1,"*","NS")))</f>
        <v>**</v>
      </c>
      <c r="L63" s="4">
        <v>7.6395906510428242</v>
      </c>
      <c r="M63" s="4">
        <v>-0.59998344316544372</v>
      </c>
      <c r="N63" s="3016" t="str">
        <f>IF(       0.844&lt;0.01,"***",IF(       0.844&lt;0.05,"**",IF(       0.844&lt;0.1,"*","NS")))</f>
        <v>NS</v>
      </c>
      <c r="P63" s="296" t="s">
        <v>2257</v>
      </c>
      <c r="Q63" s="4">
        <v>7.5264944219305177</v>
      </c>
      <c r="R63" s="4">
        <v>7.6395906510428242</v>
      </c>
      <c r="S63" s="4">
        <v>0.11309622911232356</v>
      </c>
      <c r="T63" s="3017" t="str">
        <f>IF(       0.97&lt;0.01,"***",IF(       0.97&lt;0.05,"**",IF(       0.97&lt;0.1,"*","NS")))</f>
        <v>NS</v>
      </c>
    </row>
    <row r="64" spans="1:20" x14ac:dyDescent="0.2">
      <c r="A64" s="296" t="s">
        <v>2035</v>
      </c>
      <c r="B64" s="4">
        <v>32.571927965402999</v>
      </c>
      <c r="C64" s="4">
        <v>25.544686452016819</v>
      </c>
      <c r="D64" s="4">
        <v>-7.0272415133861337</v>
      </c>
      <c r="E64" s="3018" t="str">
        <f>IF(       0.006&lt;0.01,"***",IF(       0.006&lt;0.05,"**",IF(       0.006&lt;0.1,"*","NS")))</f>
        <v>***</v>
      </c>
      <c r="G64" s="296" t="s">
        <v>2139</v>
      </c>
      <c r="H64" s="4">
        <v>32.571927965402999</v>
      </c>
      <c r="I64" s="4">
        <v>26.851939090100981</v>
      </c>
      <c r="J64" s="4">
        <v>-5.7199888753019223</v>
      </c>
      <c r="K64" s="3019" t="str">
        <f>IF(       0.023&lt;0.01,"***",IF(       0.023&lt;0.05,"**",IF(       0.023&lt;0.1,"*","NS")))</f>
        <v>**</v>
      </c>
      <c r="L64" s="4">
        <v>19.42626304571845</v>
      </c>
      <c r="M64" s="4">
        <v>-13.145664919684505</v>
      </c>
      <c r="N64" s="3020" t="str">
        <f>IF(       0.012&lt;0.01,"***",IF(       0.012&lt;0.05,"**",IF(       0.012&lt;0.1,"*","NS")))</f>
        <v>**</v>
      </c>
      <c r="P64" s="296" t="s">
        <v>2258</v>
      </c>
      <c r="Q64" s="4">
        <v>30.980746103619129</v>
      </c>
      <c r="R64" s="4">
        <v>19.42626304571845</v>
      </c>
      <c r="S64" s="4">
        <v>-11.554483057900546</v>
      </c>
      <c r="T64" s="3021" t="str">
        <f>IF(       0.02&lt;0.01,"***",IF(       0.02&lt;0.05,"**",IF(       0.02&lt;0.1,"*","NS")))</f>
        <v>**</v>
      </c>
    </row>
    <row r="65" spans="1:20" x14ac:dyDescent="0.2">
      <c r="A65" s="296" t="s">
        <v>2036</v>
      </c>
      <c r="B65" s="4">
        <v>20.981948999887852</v>
      </c>
      <c r="C65" s="4">
        <v>18.781905331178411</v>
      </c>
      <c r="D65" s="4">
        <v>-2.2000436687094238</v>
      </c>
      <c r="E65" s="3022" t="str">
        <f>IF(       0.186&lt;0.01,"***",IF(       0.186&lt;0.05,"**",IF(       0.186&lt;0.1,"*","NS")))</f>
        <v>NS</v>
      </c>
      <c r="G65" s="296" t="s">
        <v>2140</v>
      </c>
      <c r="H65" s="4">
        <v>20.981948999887852</v>
      </c>
      <c r="I65" s="4">
        <v>19.15355083542007</v>
      </c>
      <c r="J65" s="4">
        <v>-1.8283981644678418</v>
      </c>
      <c r="K65" s="3023" t="str">
        <f>IF(       0.288&lt;0.01,"***",IF(       0.288&lt;0.05,"**",IF(       0.288&lt;0.1,"*","NS")))</f>
        <v>NS</v>
      </c>
      <c r="L65" s="4">
        <v>17.638514989599511</v>
      </c>
      <c r="M65" s="4">
        <v>-3.343434010288457</v>
      </c>
      <c r="N65" s="3024" t="str">
        <f>IF(       0.303&lt;0.01,"***",IF(       0.303&lt;0.05,"**",IF(       0.303&lt;0.1,"*","NS")))</f>
        <v>NS</v>
      </c>
      <c r="P65" s="296" t="s">
        <v>2259</v>
      </c>
      <c r="Q65" s="4">
        <v>20.44727862772729</v>
      </c>
      <c r="R65" s="4">
        <v>17.638514989599511</v>
      </c>
      <c r="S65" s="4">
        <v>-2.8087636381278203</v>
      </c>
      <c r="T65" s="3025" t="str">
        <f>IF(       0.376&lt;0.01,"***",IF(       0.376&lt;0.05,"**",IF(       0.376&lt;0.1,"*","NS")))</f>
        <v>NS</v>
      </c>
    </row>
    <row r="66" spans="1:20" x14ac:dyDescent="0.2">
      <c r="A66" s="296" t="s">
        <v>12</v>
      </c>
      <c r="B66" s="4" t="s">
        <v>6067</v>
      </c>
      <c r="C66" s="4" t="s">
        <v>6067</v>
      </c>
      <c r="D66" s="4" t="s">
        <v>6067</v>
      </c>
      <c r="E66" s="4" t="s">
        <v>6067</v>
      </c>
      <c r="G66" s="296" t="s">
        <v>12</v>
      </c>
      <c r="H66" s="4" t="s">
        <v>6067</v>
      </c>
      <c r="I66" s="4" t="s">
        <v>6067</v>
      </c>
      <c r="J66" s="4" t="s">
        <v>6067</v>
      </c>
      <c r="K66" s="4" t="s">
        <v>6067</v>
      </c>
      <c r="L66" s="4" t="s">
        <v>6067</v>
      </c>
      <c r="M66" s="4" t="s">
        <v>6067</v>
      </c>
      <c r="N66" s="4" t="s">
        <v>6067</v>
      </c>
      <c r="P66" s="296" t="s">
        <v>12</v>
      </c>
      <c r="Q66" s="4" t="s">
        <v>6067</v>
      </c>
      <c r="R66" s="4" t="s">
        <v>6067</v>
      </c>
      <c r="S66" s="4" t="s">
        <v>6067</v>
      </c>
      <c r="T66" s="4" t="s">
        <v>6067</v>
      </c>
    </row>
    <row r="67" spans="1:20" x14ac:dyDescent="0.2">
      <c r="A67" s="296" t="s">
        <v>2037</v>
      </c>
      <c r="B67" s="4">
        <v>5.4742668298946446</v>
      </c>
      <c r="C67" s="4">
        <v>3.8891639107475431</v>
      </c>
      <c r="D67" s="4">
        <v>-1.5851029191471144</v>
      </c>
      <c r="E67" s="3026" t="str">
        <f>IF(       0.134&lt;0.01,"***",IF(       0.134&lt;0.05,"**",IF(       0.134&lt;0.1,"*","NS")))</f>
        <v>NS</v>
      </c>
      <c r="G67" s="296" t="s">
        <v>2141</v>
      </c>
      <c r="H67" s="4">
        <v>5.4742668298946446</v>
      </c>
      <c r="I67" s="4">
        <v>4.2399267727124039</v>
      </c>
      <c r="J67" s="4">
        <v>-1.2343400571822547</v>
      </c>
      <c r="K67" s="3027" t="str">
        <f>IF(       0.374&lt;0.01,"***",IF(       0.374&lt;0.05,"**",IF(       0.374&lt;0.1,"*","NS")))</f>
        <v>NS</v>
      </c>
      <c r="L67" s="4">
        <v>2.8150571520489578</v>
      </c>
      <c r="M67" s="4">
        <v>-2.6592096778456544</v>
      </c>
      <c r="N67" s="3028" t="str">
        <f>IF(       0.109&lt;0.01,"***",IF(       0.109&lt;0.05,"**",IF(       0.109&lt;0.1,"*","NS")))</f>
        <v>NS</v>
      </c>
      <c r="P67" s="296" t="s">
        <v>2260</v>
      </c>
      <c r="Q67" s="4">
        <v>5.2504129754805708</v>
      </c>
      <c r="R67" s="4">
        <v>2.8150571520489578</v>
      </c>
      <c r="S67" s="4">
        <v>-2.4353558234315771</v>
      </c>
      <c r="T67" s="3029" t="str">
        <f>IF(       0.156&lt;0.01,"***",IF(       0.156&lt;0.05,"**",IF(       0.156&lt;0.1,"*","NS")))</f>
        <v>NS</v>
      </c>
    </row>
    <row r="68" spans="1:20" x14ac:dyDescent="0.2">
      <c r="A68" s="296" t="s">
        <v>2038</v>
      </c>
      <c r="B68" s="4">
        <v>19.50147783158377</v>
      </c>
      <c r="C68" s="4">
        <v>14.919540447653111</v>
      </c>
      <c r="D68" s="4">
        <v>-4.5819373839306854</v>
      </c>
      <c r="E68" s="3030" t="str">
        <f>IF(       0.029&lt;0.01,"***",IF(       0.029&lt;0.05,"**",IF(       0.029&lt;0.1,"*","NS")))</f>
        <v>**</v>
      </c>
      <c r="G68" s="296" t="s">
        <v>2142</v>
      </c>
      <c r="H68" s="4">
        <v>19.50147783158377</v>
      </c>
      <c r="I68" s="4">
        <v>15.01941734492938</v>
      </c>
      <c r="J68" s="4">
        <v>-4.4820604866544098</v>
      </c>
      <c r="K68" s="3031" t="str">
        <f>IF(       0.073&lt;0.01,"***",IF(       0.073&lt;0.05,"**",IF(       0.073&lt;0.1,"*","NS")))</f>
        <v>*</v>
      </c>
      <c r="L68" s="4">
        <v>14.76396713560789</v>
      </c>
      <c r="M68" s="4">
        <v>-4.7375106959759314</v>
      </c>
      <c r="N68" s="3032" t="str">
        <f>IF(       0.072&lt;0.01,"***",IF(       0.072&lt;0.05,"**",IF(       0.072&lt;0.1,"*","NS")))</f>
        <v>*</v>
      </c>
      <c r="P68" s="296" t="s">
        <v>2261</v>
      </c>
      <c r="Q68" s="4">
        <v>17.904011240295301</v>
      </c>
      <c r="R68" s="4">
        <v>14.76396713560789</v>
      </c>
      <c r="S68" s="4">
        <v>-3.1400441046874117</v>
      </c>
      <c r="T68" s="3033" t="str">
        <f>IF(       0.206&lt;0.01,"***",IF(       0.206&lt;0.05,"**",IF(       0.206&lt;0.1,"*","NS")))</f>
        <v>NS</v>
      </c>
    </row>
    <row r="69" spans="1:20" x14ac:dyDescent="0.2">
      <c r="A69" s="296" t="s">
        <v>2039</v>
      </c>
      <c r="B69" s="4">
        <v>8.438293691907381</v>
      </c>
      <c r="C69" s="4">
        <v>4.5342054456953456</v>
      </c>
      <c r="D69" s="4">
        <v>-3.9040882462120083</v>
      </c>
      <c r="E69" s="3034" t="str">
        <f>IF(       0&lt;0.01,"***",IF(       0&lt;0.05,"**",IF(       0&lt;0.1,"*","NS")))</f>
        <v>***</v>
      </c>
      <c r="G69" s="296" t="s">
        <v>2143</v>
      </c>
      <c r="H69" s="4">
        <v>8.438293691907381</v>
      </c>
      <c r="I69" s="4">
        <v>5.0044595812482493</v>
      </c>
      <c r="J69" s="4">
        <v>-3.4338341106591632</v>
      </c>
      <c r="K69" s="3035" t="str">
        <f>IF(       0.001&lt;0.01,"***",IF(       0.001&lt;0.05,"**",IF(       0.001&lt;0.1,"*","NS")))</f>
        <v>***</v>
      </c>
      <c r="L69" s="4">
        <v>2.993234251475053</v>
      </c>
      <c r="M69" s="4">
        <v>-5.4450594404322867</v>
      </c>
      <c r="N69" s="3036" t="str">
        <f>IF(       0&lt;0.01,"***",IF(       0&lt;0.05,"**",IF(       0&lt;0.1,"*","NS")))</f>
        <v>***</v>
      </c>
      <c r="P69" s="296" t="s">
        <v>2262</v>
      </c>
      <c r="Q69" s="4">
        <v>7.1112405011855389</v>
      </c>
      <c r="R69" s="4">
        <v>2.993234251475053</v>
      </c>
      <c r="S69" s="4">
        <v>-4.1180062497104029</v>
      </c>
      <c r="T69" s="3037" t="str">
        <f>IF(       0&lt;0.01,"***",IF(       0&lt;0.05,"**",IF(       0&lt;0.1,"*","NS")))</f>
        <v>***</v>
      </c>
    </row>
    <row r="70" spans="1:20" x14ac:dyDescent="0.2">
      <c r="A70" s="296" t="s">
        <v>2040</v>
      </c>
      <c r="B70" s="4">
        <v>31.097369784568471</v>
      </c>
      <c r="C70" s="4">
        <v>26.359887352023119</v>
      </c>
      <c r="D70" s="4">
        <v>-4.7374824325454012</v>
      </c>
      <c r="E70" s="3038" t="str">
        <f>IF(       0.034&lt;0.01,"***",IF(       0.034&lt;0.05,"**",IF(       0.034&lt;0.1,"*","NS")))</f>
        <v>**</v>
      </c>
      <c r="G70" s="296" t="s">
        <v>2144</v>
      </c>
      <c r="H70" s="4">
        <v>31.097369784568471</v>
      </c>
      <c r="I70" s="4">
        <v>25.82859321133547</v>
      </c>
      <c r="J70" s="4">
        <v>-5.2687765732330698</v>
      </c>
      <c r="K70" s="3039" t="str">
        <f>IF(       0.012&lt;0.01,"***",IF(       0.012&lt;0.05,"**",IF(       0.012&lt;0.1,"*","NS")))</f>
        <v>**</v>
      </c>
      <c r="L70" s="4">
        <v>27.801644681254139</v>
      </c>
      <c r="M70" s="4">
        <v>-3.2957251033143358</v>
      </c>
      <c r="N70" s="3040" t="str">
        <f>IF(       0.435&lt;0.01,"***",IF(       0.435&lt;0.05,"**",IF(       0.435&lt;0.1,"*","NS")))</f>
        <v>NS</v>
      </c>
      <c r="P70" s="296" t="s">
        <v>2263</v>
      </c>
      <c r="Q70" s="4">
        <v>29.7187300728738</v>
      </c>
      <c r="R70" s="4">
        <v>27.801644681254139</v>
      </c>
      <c r="S70" s="4">
        <v>-1.9170853916196975</v>
      </c>
      <c r="T70" s="3041" t="str">
        <f>IF(       0.637&lt;0.01,"***",IF(       0.637&lt;0.05,"**",IF(       0.637&lt;0.1,"*","NS")))</f>
        <v>NS</v>
      </c>
    </row>
    <row r="71" spans="1:20" x14ac:dyDescent="0.2">
      <c r="A71" s="296" t="s">
        <v>2041</v>
      </c>
      <c r="B71" s="4">
        <v>50.260619826240827</v>
      </c>
      <c r="C71" s="4">
        <v>31.98579889255436</v>
      </c>
      <c r="D71" s="4">
        <v>-18.27482093368701</v>
      </c>
      <c r="E71" s="3042" t="str">
        <f>IF(       0&lt;0.01,"***",IF(       0&lt;0.05,"**",IF(       0&lt;0.1,"*","NS")))</f>
        <v>***</v>
      </c>
      <c r="G71" s="296" t="s">
        <v>2145</v>
      </c>
      <c r="H71" s="4">
        <v>50.260619826240827</v>
      </c>
      <c r="I71" s="4">
        <v>33.010315278160363</v>
      </c>
      <c r="J71" s="4">
        <v>-17.250304548079892</v>
      </c>
      <c r="K71" s="3043" t="str">
        <f>IF(       0&lt;0.01,"***",IF(       0&lt;0.05,"**",IF(       0&lt;0.1,"*","NS")))</f>
        <v>***</v>
      </c>
      <c r="L71" s="4">
        <v>29.4493339385002</v>
      </c>
      <c r="M71" s="4">
        <v>-20.811285887740645</v>
      </c>
      <c r="N71" s="3044" t="str">
        <f>IF(       0&lt;0.01,"***",IF(       0&lt;0.05,"**",IF(       0&lt;0.1,"*","NS")))</f>
        <v>***</v>
      </c>
      <c r="P71" s="296" t="s">
        <v>2264</v>
      </c>
      <c r="Q71" s="4">
        <v>46.009837299004573</v>
      </c>
      <c r="R71" s="4">
        <v>29.4493339385002</v>
      </c>
      <c r="S71" s="4">
        <v>-16.560503360504406</v>
      </c>
      <c r="T71" s="3045" t="str">
        <f>IF(       0&lt;0.01,"***",IF(       0&lt;0.05,"**",IF(       0&lt;0.1,"*","NS")))</f>
        <v>***</v>
      </c>
    </row>
    <row r="72" spans="1:20" x14ac:dyDescent="0.2">
      <c r="A72" s="296" t="s">
        <v>2042</v>
      </c>
      <c r="B72" s="4">
        <v>4.7673218843368286</v>
      </c>
      <c r="C72" s="4">
        <v>2.7520615904611438</v>
      </c>
      <c r="D72" s="4">
        <v>-2.015260293875702</v>
      </c>
      <c r="E72" s="3046" t="str">
        <f>IF(       0.287&lt;0.01,"***",IF(       0.287&lt;0.05,"**",IF(       0.287&lt;0.1,"*","NS")))</f>
        <v>NS</v>
      </c>
      <c r="G72" s="296" t="s">
        <v>2146</v>
      </c>
      <c r="H72" s="4">
        <v>4.7673218843368286</v>
      </c>
      <c r="I72" s="4">
        <v>3.4976484088674522</v>
      </c>
      <c r="J72" s="4">
        <v>-1.269673475469357</v>
      </c>
      <c r="K72" s="3047" t="str">
        <f>IF(       0.493&lt;0.01,"***",IF(       0.493&lt;0.05,"**",IF(       0.493&lt;0.1,"*","NS")))</f>
        <v>NS</v>
      </c>
      <c r="L72" s="4">
        <v>0.50305502176551253</v>
      </c>
      <c r="M72" s="4">
        <v>-4.2642668625712474</v>
      </c>
      <c r="N72" s="3048" t="str">
        <f>IF(       0.066&lt;0.01,"***",IF(       0.066&lt;0.05,"**",IF(       0.066&lt;0.1,"*","NS")))</f>
        <v>*</v>
      </c>
      <c r="P72" s="296" t="s">
        <v>2265</v>
      </c>
      <c r="Q72" s="4">
        <v>4.4656528297358253</v>
      </c>
      <c r="R72" s="4">
        <v>0.50305502176551253</v>
      </c>
      <c r="S72" s="4">
        <v>-3.962597807970357</v>
      </c>
      <c r="T72" s="3049" t="str">
        <f>IF(       0.043&lt;0.01,"***",IF(       0.043&lt;0.05,"**",IF(       0.043&lt;0.1,"*","NS")))</f>
        <v>**</v>
      </c>
    </row>
    <row r="73" spans="1:20" x14ac:dyDescent="0.2">
      <c r="A73" s="296" t="s">
        <v>2043</v>
      </c>
      <c r="B73" s="4">
        <v>20.143292999042401</v>
      </c>
      <c r="C73" s="4">
        <v>16.918226253955641</v>
      </c>
      <c r="D73" s="4">
        <v>-3.2250667450867945</v>
      </c>
      <c r="E73" s="3050" t="str">
        <f>IF(       0.053&lt;0.01,"***",IF(       0.053&lt;0.05,"**",IF(       0.053&lt;0.1,"*","NS")))</f>
        <v>*</v>
      </c>
      <c r="G73" s="296" t="s">
        <v>2147</v>
      </c>
      <c r="H73" s="4">
        <v>20.143292999042401</v>
      </c>
      <c r="I73" s="4">
        <v>16.894315906937742</v>
      </c>
      <c r="J73" s="4">
        <v>-3.2489770921046506</v>
      </c>
      <c r="K73" s="3051" t="str">
        <f>IF(       0.097&lt;0.01,"***",IF(       0.097&lt;0.05,"**",IF(       0.097&lt;0.1,"*","NS")))</f>
        <v>*</v>
      </c>
      <c r="L73" s="4">
        <v>16.97198369064478</v>
      </c>
      <c r="M73" s="4">
        <v>-3.1713093083976513</v>
      </c>
      <c r="N73" s="3052" t="str">
        <f>IF(       0.149&lt;0.01,"***",IF(       0.149&lt;0.05,"**",IF(       0.149&lt;0.1,"*","NS")))</f>
        <v>NS</v>
      </c>
      <c r="P73" s="296" t="s">
        <v>2266</v>
      </c>
      <c r="Q73" s="4">
        <v>19.039089402563391</v>
      </c>
      <c r="R73" s="4">
        <v>16.97198369064478</v>
      </c>
      <c r="S73" s="4">
        <v>-2.0671057119185696</v>
      </c>
      <c r="T73" s="3053" t="str">
        <f>IF(       0.331&lt;0.01,"***",IF(       0.331&lt;0.05,"**",IF(       0.331&lt;0.1,"*","NS")))</f>
        <v>NS</v>
      </c>
    </row>
    <row r="74" spans="1:20" x14ac:dyDescent="0.2">
      <c r="A74" s="296" t="s">
        <v>2044</v>
      </c>
      <c r="B74" s="4">
        <v>8.2530653093253612</v>
      </c>
      <c r="C74" s="4">
        <v>4.2485419354494249</v>
      </c>
      <c r="D74" s="4">
        <v>-4.0045233738759265</v>
      </c>
      <c r="E74" s="3054" t="str">
        <f>IF(       0.002&lt;0.01,"***",IF(       0.002&lt;0.05,"**",IF(       0.002&lt;0.1,"*","NS")))</f>
        <v>***</v>
      </c>
      <c r="G74" s="296" t="s">
        <v>2148</v>
      </c>
      <c r="H74" s="4">
        <v>8.2530653093253612</v>
      </c>
      <c r="I74" s="4">
        <v>5.023034962836082</v>
      </c>
      <c r="J74" s="4">
        <v>-3.2300303464892823</v>
      </c>
      <c r="K74" s="3055" t="str">
        <f>IF(       0.018&lt;0.01,"***",IF(       0.018&lt;0.05,"**",IF(       0.018&lt;0.1,"*","NS")))</f>
        <v>**</v>
      </c>
      <c r="L74" s="4">
        <v>1.6865917825625329</v>
      </c>
      <c r="M74" s="4">
        <v>-6.5664735267628052</v>
      </c>
      <c r="N74" s="3056" t="str">
        <f>IF(       0&lt;0.01,"***",IF(       0&lt;0.05,"**",IF(       0&lt;0.1,"*","NS")))</f>
        <v>***</v>
      </c>
      <c r="P74" s="296" t="s">
        <v>2267</v>
      </c>
      <c r="Q74" s="4">
        <v>7.3741294782099116</v>
      </c>
      <c r="R74" s="4">
        <v>1.6865917825625329</v>
      </c>
      <c r="S74" s="4">
        <v>-5.687537695647233</v>
      </c>
      <c r="T74" s="3057" t="str">
        <f>IF(       0&lt;0.01,"***",IF(       0&lt;0.05,"**",IF(       0&lt;0.1,"*","NS")))</f>
        <v>***</v>
      </c>
    </row>
    <row r="75" spans="1:20" x14ac:dyDescent="0.2">
      <c r="A75" s="296" t="s">
        <v>5835</v>
      </c>
      <c r="B75" s="4">
        <v>21.254058212859189</v>
      </c>
      <c r="C75" s="4">
        <v>15.555540997034591</v>
      </c>
      <c r="D75" s="4">
        <v>-5.6985172158247517</v>
      </c>
      <c r="E75" s="3058" t="str">
        <f>IF(       0&lt;0.01,"***",IF(       0&lt;0.05,"**",IF(       0&lt;0.1,"*","NS")))</f>
        <v>***</v>
      </c>
      <c r="G75" s="296" t="s">
        <v>5835</v>
      </c>
      <c r="H75" s="4">
        <v>21.254058212859189</v>
      </c>
      <c r="I75" s="4">
        <v>15.72248543679653</v>
      </c>
      <c r="J75" s="4">
        <v>-5.5315727760616893</v>
      </c>
      <c r="K75" s="3059" t="str">
        <f>IF(       0&lt;0.01,"***",IF(       0&lt;0.05,"**",IF(       0&lt;0.1,"*","NS")))</f>
        <v>***</v>
      </c>
      <c r="L75" s="4">
        <v>15.07884142040372</v>
      </c>
      <c r="M75" s="4">
        <v>-6.1752167924557382</v>
      </c>
      <c r="N75" s="3060" t="str">
        <f>IF(       0&lt;0.01,"***",IF(       0&lt;0.05,"**",IF(       0&lt;0.1,"*","NS")))</f>
        <v>***</v>
      </c>
      <c r="P75" s="296" t="s">
        <v>5835</v>
      </c>
      <c r="Q75" s="4">
        <v>19.64255137581392</v>
      </c>
      <c r="R75" s="4">
        <v>15.07884142040372</v>
      </c>
      <c r="S75" s="4">
        <v>-4.5637099554100411</v>
      </c>
      <c r="T75" s="3061" t="str">
        <f>IF(       0&lt;0.01,"***",IF(       0&lt;0.05,"**",IF(       0&lt;0.1,"*","NS")))</f>
        <v>***</v>
      </c>
    </row>
    <row r="77" spans="1:20" x14ac:dyDescent="0.2">
      <c r="A77" s="296" t="s">
        <v>2045</v>
      </c>
      <c r="G77" s="296" t="s">
        <v>2149</v>
      </c>
      <c r="P77" s="296" t="s">
        <v>2268</v>
      </c>
    </row>
    <row r="78" spans="1:20" s="3" customFormat="1" x14ac:dyDescent="0.2">
      <c r="A78" s="5946" t="s">
        <v>2046</v>
      </c>
      <c r="B78" s="5947" t="s">
        <v>2047</v>
      </c>
      <c r="C78" s="5948" t="s">
        <v>2048</v>
      </c>
      <c r="D78" s="5949" t="s">
        <v>2049</v>
      </c>
      <c r="E78" s="5950" t="s">
        <v>2050</v>
      </c>
      <c r="G78" s="5951" t="s">
        <v>2150</v>
      </c>
      <c r="H78" s="5952" t="s">
        <v>2151</v>
      </c>
      <c r="I78" s="5953" t="s">
        <v>2152</v>
      </c>
      <c r="J78" s="5954" t="s">
        <v>2153</v>
      </c>
      <c r="K78" s="5955" t="s">
        <v>2154</v>
      </c>
      <c r="L78" s="5956" t="s">
        <v>2182</v>
      </c>
      <c r="M78" s="5957" t="s">
        <v>2183</v>
      </c>
      <c r="N78" s="5958" t="s">
        <v>2184</v>
      </c>
      <c r="P78" s="5959" t="s">
        <v>2269</v>
      </c>
      <c r="Q78" s="5960" t="s">
        <v>2270</v>
      </c>
      <c r="R78" s="5961" t="s">
        <v>2271</v>
      </c>
      <c r="S78" s="5962" t="s">
        <v>2272</v>
      </c>
      <c r="T78" s="5963" t="s">
        <v>2273</v>
      </c>
    </row>
    <row r="79" spans="1:20" x14ac:dyDescent="0.2">
      <c r="A79" s="296" t="s">
        <v>2051</v>
      </c>
      <c r="B79" s="4" t="s">
        <v>6067</v>
      </c>
      <c r="C79" s="4" t="s">
        <v>6067</v>
      </c>
      <c r="D79" s="4" t="s">
        <v>6067</v>
      </c>
      <c r="E79" s="4" t="s">
        <v>6067</v>
      </c>
      <c r="G79" s="296" t="s">
        <v>2155</v>
      </c>
      <c r="H79" s="4" t="s">
        <v>6067</v>
      </c>
      <c r="I79" s="4" t="s">
        <v>6067</v>
      </c>
      <c r="J79" s="4" t="s">
        <v>6067</v>
      </c>
      <c r="K79" s="4" t="s">
        <v>6067</v>
      </c>
      <c r="L79" s="4" t="s">
        <v>6067</v>
      </c>
      <c r="M79" s="4" t="s">
        <v>6067</v>
      </c>
      <c r="N79" s="4" t="s">
        <v>6067</v>
      </c>
      <c r="P79" s="296" t="s">
        <v>2274</v>
      </c>
      <c r="Q79" s="4" t="s">
        <v>6067</v>
      </c>
      <c r="R79" s="4" t="s">
        <v>6067</v>
      </c>
      <c r="S79" s="4" t="s">
        <v>6067</v>
      </c>
      <c r="T79" s="4" t="s">
        <v>6067</v>
      </c>
    </row>
    <row r="80" spans="1:20" x14ac:dyDescent="0.2">
      <c r="A80" s="296" t="s">
        <v>2052</v>
      </c>
      <c r="B80" s="4">
        <v>48.818543841156583</v>
      </c>
      <c r="C80" s="4">
        <v>34.087719752005732</v>
      </c>
      <c r="D80" s="4">
        <v>-14.730824089150886</v>
      </c>
      <c r="E80" s="3062" t="str">
        <f>IF(       0.002&lt;0.01,"***",IF(       0.002&lt;0.05,"**",IF(       0.002&lt;0.1,"*","NS")))</f>
        <v>***</v>
      </c>
      <c r="G80" s="296" t="s">
        <v>2156</v>
      </c>
      <c r="H80" s="4">
        <v>48.818543841156583</v>
      </c>
      <c r="I80" s="4">
        <v>33.552085134123899</v>
      </c>
      <c r="J80" s="4">
        <v>-15.266458707032591</v>
      </c>
      <c r="K80" s="3063" t="str">
        <f>IF(       0.015&lt;0.01,"***",IF(       0.015&lt;0.05,"**",IF(       0.015&lt;0.1,"*","NS")))</f>
        <v>**</v>
      </c>
      <c r="L80" s="4">
        <v>35.526853317363702</v>
      </c>
      <c r="M80" s="4">
        <v>-13.291690523792983</v>
      </c>
      <c r="N80" s="3064" t="str">
        <f>IF(       0.091&lt;0.01,"***",IF(       0.091&lt;0.05,"**",IF(       0.091&lt;0.1,"*","NS")))</f>
        <v>*</v>
      </c>
      <c r="P80" s="296" t="s">
        <v>2275</v>
      </c>
      <c r="Q80" s="4">
        <v>45.245836701493182</v>
      </c>
      <c r="R80" s="4">
        <v>35.526853317363702</v>
      </c>
      <c r="S80" s="4">
        <v>-9.7189833841296593</v>
      </c>
      <c r="T80" s="3065" t="str">
        <f>IF(       0.234&lt;0.01,"***",IF(       0.234&lt;0.05,"**",IF(       0.234&lt;0.1,"*","NS")))</f>
        <v>NS</v>
      </c>
    </row>
    <row r="81" spans="1:20" x14ac:dyDescent="0.2">
      <c r="A81" s="296" t="s">
        <v>2053</v>
      </c>
      <c r="B81" s="4" t="s">
        <v>6067</v>
      </c>
      <c r="C81" s="4" t="s">
        <v>6067</v>
      </c>
      <c r="D81" s="4" t="s">
        <v>6067</v>
      </c>
      <c r="E81" s="4" t="s">
        <v>6067</v>
      </c>
      <c r="G81" s="296" t="s">
        <v>2157</v>
      </c>
      <c r="H81" s="4" t="s">
        <v>6067</v>
      </c>
      <c r="I81" s="4" t="s">
        <v>6067</v>
      </c>
      <c r="J81" s="4" t="s">
        <v>6067</v>
      </c>
      <c r="K81" s="4" t="s">
        <v>6067</v>
      </c>
      <c r="L81" s="4" t="s">
        <v>6067</v>
      </c>
      <c r="M81" s="4" t="s">
        <v>6067</v>
      </c>
      <c r="N81" s="4" t="s">
        <v>6067</v>
      </c>
      <c r="P81" s="296" t="s">
        <v>2276</v>
      </c>
      <c r="Q81" s="4" t="s">
        <v>6067</v>
      </c>
      <c r="R81" s="4" t="s">
        <v>6067</v>
      </c>
      <c r="S81" s="4" t="s">
        <v>6067</v>
      </c>
      <c r="T81" s="4" t="s">
        <v>6067</v>
      </c>
    </row>
    <row r="82" spans="1:20" x14ac:dyDescent="0.2">
      <c r="A82" s="296" t="s">
        <v>2054</v>
      </c>
      <c r="B82" s="4" t="s">
        <v>6067</v>
      </c>
      <c r="C82" s="4" t="s">
        <v>6067</v>
      </c>
      <c r="D82" s="4" t="s">
        <v>6067</v>
      </c>
      <c r="E82" s="4" t="s">
        <v>6067</v>
      </c>
      <c r="G82" s="296" t="s">
        <v>2158</v>
      </c>
      <c r="H82" s="4" t="s">
        <v>6067</v>
      </c>
      <c r="I82" s="4" t="s">
        <v>6067</v>
      </c>
      <c r="J82" s="4" t="s">
        <v>6067</v>
      </c>
      <c r="K82" s="4" t="s">
        <v>6067</v>
      </c>
      <c r="L82" s="4" t="s">
        <v>6067</v>
      </c>
      <c r="M82" s="4" t="s">
        <v>6067</v>
      </c>
      <c r="N82" s="4" t="s">
        <v>6067</v>
      </c>
      <c r="P82" s="296" t="s">
        <v>2277</v>
      </c>
      <c r="Q82" s="4" t="s">
        <v>6067</v>
      </c>
      <c r="R82" s="4" t="s">
        <v>6067</v>
      </c>
      <c r="S82" s="4" t="s">
        <v>6067</v>
      </c>
      <c r="T82" s="4" t="s">
        <v>6067</v>
      </c>
    </row>
    <row r="83" spans="1:20" x14ac:dyDescent="0.2">
      <c r="A83" s="296" t="s">
        <v>2055</v>
      </c>
      <c r="B83" s="4" t="s">
        <v>6067</v>
      </c>
      <c r="C83" s="4" t="s">
        <v>6067</v>
      </c>
      <c r="D83" s="4" t="s">
        <v>6067</v>
      </c>
      <c r="E83" s="4" t="s">
        <v>6067</v>
      </c>
      <c r="G83" s="296" t="s">
        <v>2159</v>
      </c>
      <c r="H83" s="4" t="s">
        <v>6067</v>
      </c>
      <c r="I83" s="4" t="s">
        <v>6067</v>
      </c>
      <c r="J83" s="4" t="s">
        <v>6067</v>
      </c>
      <c r="K83" s="4" t="s">
        <v>6067</v>
      </c>
      <c r="L83" s="4" t="s">
        <v>6067</v>
      </c>
      <c r="M83" s="4" t="s">
        <v>6067</v>
      </c>
      <c r="N83" s="4" t="s">
        <v>6067</v>
      </c>
      <c r="P83" s="296" t="s">
        <v>2278</v>
      </c>
      <c r="Q83" s="4" t="s">
        <v>6067</v>
      </c>
      <c r="R83" s="4" t="s">
        <v>6067</v>
      </c>
      <c r="S83" s="4" t="s">
        <v>6067</v>
      </c>
      <c r="T83" s="4" t="s">
        <v>6067</v>
      </c>
    </row>
    <row r="84" spans="1:20" x14ac:dyDescent="0.2">
      <c r="A84" s="296" t="s">
        <v>2056</v>
      </c>
      <c r="B84" s="4" t="s">
        <v>6067</v>
      </c>
      <c r="C84" s="4" t="s">
        <v>6067</v>
      </c>
      <c r="D84" s="4" t="s">
        <v>6067</v>
      </c>
      <c r="E84" s="4" t="s">
        <v>6067</v>
      </c>
      <c r="G84" s="296" t="s">
        <v>2160</v>
      </c>
      <c r="H84" s="4" t="s">
        <v>6067</v>
      </c>
      <c r="I84" s="4" t="s">
        <v>6067</v>
      </c>
      <c r="J84" s="4" t="s">
        <v>6067</v>
      </c>
      <c r="K84" s="4" t="s">
        <v>6067</v>
      </c>
      <c r="L84" s="4" t="s">
        <v>6067</v>
      </c>
      <c r="M84" s="4" t="s">
        <v>6067</v>
      </c>
      <c r="N84" s="4" t="s">
        <v>6067</v>
      </c>
      <c r="P84" s="296" t="s">
        <v>2279</v>
      </c>
      <c r="Q84" s="4" t="s">
        <v>6067</v>
      </c>
      <c r="R84" s="4" t="s">
        <v>6067</v>
      </c>
      <c r="S84" s="4" t="s">
        <v>6067</v>
      </c>
      <c r="T84" s="4" t="s">
        <v>6067</v>
      </c>
    </row>
    <row r="85" spans="1:20" x14ac:dyDescent="0.2">
      <c r="A85" s="296" t="s">
        <v>2057</v>
      </c>
      <c r="B85" s="4">
        <v>93.183816735636725</v>
      </c>
      <c r="C85" s="4">
        <v>89.342171487371786</v>
      </c>
      <c r="D85" s="4">
        <v>-3.8416452482649039</v>
      </c>
      <c r="E85" s="3066" t="str">
        <f>IF(       0.01&lt;0.01,"***",IF(       0.01&lt;0.05,"**",IF(       0.01&lt;0.1,"*","NS")))</f>
        <v>**</v>
      </c>
      <c r="G85" s="296" t="s">
        <v>2161</v>
      </c>
      <c r="H85" s="4">
        <v>93.183816735636725</v>
      </c>
      <c r="I85" s="4">
        <v>88.644800409356392</v>
      </c>
      <c r="J85" s="4">
        <v>-4.539016326280211</v>
      </c>
      <c r="K85" s="3067" t="str">
        <f>IF(       0.013&lt;0.01,"***",IF(       0.013&lt;0.05,"**",IF(       0.013&lt;0.1,"*","NS")))</f>
        <v>**</v>
      </c>
      <c r="L85" s="4">
        <v>92.57255754602572</v>
      </c>
      <c r="M85" s="4">
        <v>-0.61125918961105208</v>
      </c>
      <c r="N85" s="3068" t="str">
        <f>IF(       0.849&lt;0.01,"***",IF(       0.849&lt;0.05,"**",IF(       0.849&lt;0.1,"*","NS")))</f>
        <v>NS</v>
      </c>
      <c r="P85" s="296" t="s">
        <v>2280</v>
      </c>
      <c r="Q85" s="4">
        <v>92.510801927343934</v>
      </c>
      <c r="R85" s="4">
        <v>92.57255754602572</v>
      </c>
      <c r="S85" s="4">
        <v>6.1755618681760376E-2</v>
      </c>
      <c r="T85" s="3069" t="str">
        <f>IF(       0.985&lt;0.01,"***",IF(       0.985&lt;0.05,"**",IF(       0.985&lt;0.1,"*","NS")))</f>
        <v>NS</v>
      </c>
    </row>
    <row r="86" spans="1:20" x14ac:dyDescent="0.2">
      <c r="A86" s="296" t="s">
        <v>2058</v>
      </c>
      <c r="B86" s="4" t="s">
        <v>6067</v>
      </c>
      <c r="C86" s="4" t="s">
        <v>6067</v>
      </c>
      <c r="D86" s="4" t="s">
        <v>6067</v>
      </c>
      <c r="E86" s="4" t="s">
        <v>6067</v>
      </c>
      <c r="G86" s="296" t="s">
        <v>2162</v>
      </c>
      <c r="H86" s="4" t="s">
        <v>6067</v>
      </c>
      <c r="I86" s="4" t="s">
        <v>6067</v>
      </c>
      <c r="J86" s="4" t="s">
        <v>6067</v>
      </c>
      <c r="K86" s="4" t="s">
        <v>6067</v>
      </c>
      <c r="L86" s="4" t="s">
        <v>6067</v>
      </c>
      <c r="M86" s="4" t="s">
        <v>6067</v>
      </c>
      <c r="N86" s="4" t="s">
        <v>6067</v>
      </c>
      <c r="P86" s="296" t="s">
        <v>2281</v>
      </c>
      <c r="Q86" s="4" t="s">
        <v>6067</v>
      </c>
      <c r="R86" s="4" t="s">
        <v>6067</v>
      </c>
      <c r="S86" s="4" t="s">
        <v>6067</v>
      </c>
      <c r="T86" s="4" t="s">
        <v>6067</v>
      </c>
    </row>
    <row r="87" spans="1:20" x14ac:dyDescent="0.2">
      <c r="A87" s="296" t="s">
        <v>2059</v>
      </c>
      <c r="B87" s="4" t="s">
        <v>6067</v>
      </c>
      <c r="C87" s="4" t="s">
        <v>6067</v>
      </c>
      <c r="D87" s="4" t="s">
        <v>6067</v>
      </c>
      <c r="E87" s="4" t="s">
        <v>6067</v>
      </c>
      <c r="G87" s="296" t="s">
        <v>2163</v>
      </c>
      <c r="H87" s="4" t="s">
        <v>6067</v>
      </c>
      <c r="I87" s="4" t="s">
        <v>6067</v>
      </c>
      <c r="J87" s="4" t="s">
        <v>6067</v>
      </c>
      <c r="K87" s="4" t="s">
        <v>6067</v>
      </c>
      <c r="L87" s="4" t="s">
        <v>6067</v>
      </c>
      <c r="M87" s="4" t="s">
        <v>6067</v>
      </c>
      <c r="N87" s="4" t="s">
        <v>6067</v>
      </c>
      <c r="P87" s="296" t="s">
        <v>2282</v>
      </c>
      <c r="Q87" s="4" t="s">
        <v>6067</v>
      </c>
      <c r="R87" s="4" t="s">
        <v>6067</v>
      </c>
      <c r="S87" s="4" t="s">
        <v>6067</v>
      </c>
      <c r="T87" s="4" t="s">
        <v>6067</v>
      </c>
    </row>
    <row r="88" spans="1:20" x14ac:dyDescent="0.2">
      <c r="A88" s="296" t="s">
        <v>2060</v>
      </c>
      <c r="B88" s="4" t="s">
        <v>6067</v>
      </c>
      <c r="C88" s="4" t="s">
        <v>6067</v>
      </c>
      <c r="D88" s="4" t="s">
        <v>6067</v>
      </c>
      <c r="E88" s="4" t="s">
        <v>6067</v>
      </c>
      <c r="G88" s="296" t="s">
        <v>2164</v>
      </c>
      <c r="H88" s="4" t="s">
        <v>6067</v>
      </c>
      <c r="I88" s="4" t="s">
        <v>6067</v>
      </c>
      <c r="J88" s="4" t="s">
        <v>6067</v>
      </c>
      <c r="K88" s="4" t="s">
        <v>6067</v>
      </c>
      <c r="L88" s="4" t="s">
        <v>6067</v>
      </c>
      <c r="M88" s="4" t="s">
        <v>6067</v>
      </c>
      <c r="N88" s="4" t="s">
        <v>6067</v>
      </c>
      <c r="P88" s="296" t="s">
        <v>2283</v>
      </c>
      <c r="Q88" s="4" t="s">
        <v>6067</v>
      </c>
      <c r="R88" s="4" t="s">
        <v>6067</v>
      </c>
      <c r="S88" s="4" t="s">
        <v>6067</v>
      </c>
      <c r="T88" s="4" t="s">
        <v>6067</v>
      </c>
    </row>
    <row r="89" spans="1:20" x14ac:dyDescent="0.2">
      <c r="A89" s="296" t="s">
        <v>2061</v>
      </c>
      <c r="B89" s="4">
        <v>71.086190544863044</v>
      </c>
      <c r="C89" s="4">
        <v>57.579277185940981</v>
      </c>
      <c r="D89" s="4">
        <v>-13.506913358921963</v>
      </c>
      <c r="E89" s="3070" t="str">
        <f>IF(       0.02&lt;0.01,"***",IF(       0.02&lt;0.05,"**",IF(       0.02&lt;0.1,"*","NS")))</f>
        <v>**</v>
      </c>
      <c r="G89" s="296" t="s">
        <v>2165</v>
      </c>
      <c r="H89" s="4">
        <v>71.086190544863044</v>
      </c>
      <c r="I89" s="4">
        <v>57.198492942264899</v>
      </c>
      <c r="J89" s="4">
        <v>-13.887697602598271</v>
      </c>
      <c r="K89" s="3071" t="str">
        <f>IF(       0.003&lt;0.01,"***",IF(       0.003&lt;0.05,"**",IF(       0.003&lt;0.1,"*","NS")))</f>
        <v>***</v>
      </c>
      <c r="L89" s="4">
        <v>58.592567731639939</v>
      </c>
      <c r="M89" s="4">
        <v>-12.493622813223068</v>
      </c>
      <c r="N89" s="3072" t="str">
        <f>IF(       0.41&lt;0.01,"***",IF(       0.41&lt;0.05,"**",IF(       0.41&lt;0.1,"*","NS")))</f>
        <v>NS</v>
      </c>
      <c r="P89" s="296" t="s">
        <v>2284</v>
      </c>
      <c r="Q89" s="4">
        <v>68.596240279242963</v>
      </c>
      <c r="R89" s="4">
        <v>58.592567731639939</v>
      </c>
      <c r="S89" s="4">
        <v>-10.003672547602983</v>
      </c>
      <c r="T89" s="3073" t="str">
        <f>IF(       0.505&lt;0.01,"***",IF(       0.505&lt;0.05,"**",IF(       0.505&lt;0.1,"*","NS")))</f>
        <v>NS</v>
      </c>
    </row>
    <row r="90" spans="1:20" x14ac:dyDescent="0.2">
      <c r="A90" s="296" t="s">
        <v>2062</v>
      </c>
      <c r="B90" s="4" t="s">
        <v>6067</v>
      </c>
      <c r="C90" s="4" t="s">
        <v>6067</v>
      </c>
      <c r="D90" s="4" t="s">
        <v>6067</v>
      </c>
      <c r="E90" s="4" t="s">
        <v>6067</v>
      </c>
      <c r="G90" s="296" t="s">
        <v>2166</v>
      </c>
      <c r="H90" s="4" t="s">
        <v>6067</v>
      </c>
      <c r="I90" s="4" t="s">
        <v>6067</v>
      </c>
      <c r="J90" s="4" t="s">
        <v>6067</v>
      </c>
      <c r="K90" s="4" t="s">
        <v>6067</v>
      </c>
      <c r="L90" s="4" t="s">
        <v>6067</v>
      </c>
      <c r="M90" s="4" t="s">
        <v>6067</v>
      </c>
      <c r="N90" s="4" t="s">
        <v>6067</v>
      </c>
      <c r="P90" s="296" t="s">
        <v>2285</v>
      </c>
      <c r="Q90" s="4" t="s">
        <v>6067</v>
      </c>
      <c r="R90" s="4" t="s">
        <v>6067</v>
      </c>
      <c r="S90" s="4" t="s">
        <v>6067</v>
      </c>
      <c r="T90" s="4" t="s">
        <v>6067</v>
      </c>
    </row>
    <row r="91" spans="1:20" x14ac:dyDescent="0.2">
      <c r="A91" s="296" t="s">
        <v>2063</v>
      </c>
      <c r="B91" s="4" t="s">
        <v>6067</v>
      </c>
      <c r="C91" s="4" t="s">
        <v>6067</v>
      </c>
      <c r="D91" s="4" t="s">
        <v>6067</v>
      </c>
      <c r="E91" s="4" t="s">
        <v>6067</v>
      </c>
      <c r="G91" s="296" t="s">
        <v>2167</v>
      </c>
      <c r="H91" s="4" t="s">
        <v>6067</v>
      </c>
      <c r="I91" s="4" t="s">
        <v>6067</v>
      </c>
      <c r="J91" s="4" t="s">
        <v>6067</v>
      </c>
      <c r="K91" s="4" t="s">
        <v>6067</v>
      </c>
      <c r="L91" s="4" t="s">
        <v>6067</v>
      </c>
      <c r="M91" s="4" t="s">
        <v>6067</v>
      </c>
      <c r="N91" s="4" t="s">
        <v>6067</v>
      </c>
      <c r="P91" s="296" t="s">
        <v>2286</v>
      </c>
      <c r="Q91" s="4" t="s">
        <v>6067</v>
      </c>
      <c r="R91" s="4" t="s">
        <v>6067</v>
      </c>
      <c r="S91" s="4" t="s">
        <v>6067</v>
      </c>
      <c r="T91" s="4" t="s">
        <v>6067</v>
      </c>
    </row>
    <row r="92" spans="1:20" x14ac:dyDescent="0.2">
      <c r="A92" s="296" t="s">
        <v>2064</v>
      </c>
      <c r="B92" s="4">
        <v>45.395362095380413</v>
      </c>
      <c r="C92" s="4">
        <v>32.75693799099939</v>
      </c>
      <c r="D92" s="4">
        <v>-12.638424104381015</v>
      </c>
      <c r="E92" s="3074" t="str">
        <f>IF(       0.051&lt;0.01,"***",IF(       0.051&lt;0.05,"**",IF(       0.051&lt;0.1,"*","NS")))</f>
        <v>*</v>
      </c>
      <c r="G92" s="296" t="s">
        <v>2168</v>
      </c>
      <c r="H92" s="4">
        <v>45.395362095380413</v>
      </c>
      <c r="I92" s="4">
        <v>34.78904182217105</v>
      </c>
      <c r="J92" s="4">
        <v>-10.606320273209349</v>
      </c>
      <c r="K92" s="3075" t="str">
        <f>IF(       0.195&lt;0.01,"***",IF(       0.195&lt;0.05,"**",IF(       0.195&lt;0.1,"*","NS")))</f>
        <v>NS</v>
      </c>
      <c r="L92" s="4">
        <v>28.57118113931951</v>
      </c>
      <c r="M92" s="4">
        <v>-16.824180956060857</v>
      </c>
      <c r="N92" s="3076" t="str">
        <f>IF(       0.001&lt;0.01,"***",IF(       0.001&lt;0.05,"**",IF(       0.001&lt;0.1,"*","NS")))</f>
        <v>***</v>
      </c>
      <c r="P92" s="296" t="s">
        <v>2287</v>
      </c>
      <c r="Q92" s="4">
        <v>42.329496083362052</v>
      </c>
      <c r="R92" s="4">
        <v>28.57118113931951</v>
      </c>
      <c r="S92" s="4">
        <v>-13.758314944042505</v>
      </c>
      <c r="T92" s="3077" t="str">
        <f>IF(       0.002&lt;0.01,"***",IF(       0.002&lt;0.05,"**",IF(       0.002&lt;0.1,"*","NS")))</f>
        <v>***</v>
      </c>
    </row>
    <row r="93" spans="1:20" x14ac:dyDescent="0.2">
      <c r="A93" s="296" t="s">
        <v>2065</v>
      </c>
      <c r="B93" s="4" t="s">
        <v>6067</v>
      </c>
      <c r="C93" s="4" t="s">
        <v>6067</v>
      </c>
      <c r="D93" s="4" t="s">
        <v>6067</v>
      </c>
      <c r="E93" s="4" t="s">
        <v>6067</v>
      </c>
      <c r="G93" s="296" t="s">
        <v>2169</v>
      </c>
      <c r="H93" s="4" t="s">
        <v>6067</v>
      </c>
      <c r="I93" s="4" t="s">
        <v>6067</v>
      </c>
      <c r="J93" s="4" t="s">
        <v>6067</v>
      </c>
      <c r="K93" s="4" t="s">
        <v>6067</v>
      </c>
      <c r="L93" s="4" t="s">
        <v>6067</v>
      </c>
      <c r="M93" s="4" t="s">
        <v>6067</v>
      </c>
      <c r="N93" s="4" t="s">
        <v>6067</v>
      </c>
      <c r="P93" s="296" t="s">
        <v>2288</v>
      </c>
      <c r="Q93" s="4" t="s">
        <v>6067</v>
      </c>
      <c r="R93" s="4" t="s">
        <v>6067</v>
      </c>
      <c r="S93" s="4" t="s">
        <v>6067</v>
      </c>
      <c r="T93" s="4" t="s">
        <v>6067</v>
      </c>
    </row>
    <row r="94" spans="1:20" x14ac:dyDescent="0.2">
      <c r="A94" s="296" t="s">
        <v>5835</v>
      </c>
      <c r="B94" s="4">
        <v>64.788790109472984</v>
      </c>
      <c r="C94" s="4">
        <v>47.921135973965463</v>
      </c>
      <c r="D94" s="4">
        <v>-16.867654135507124</v>
      </c>
      <c r="E94" s="3078" t="str">
        <f>IF(       0&lt;0.01,"***",IF(       0&lt;0.05,"**",IF(       0&lt;0.1,"*","NS")))</f>
        <v>***</v>
      </c>
      <c r="G94" s="296" t="s">
        <v>5835</v>
      </c>
      <c r="H94" s="4">
        <v>64.788790109472984</v>
      </c>
      <c r="I94" s="4">
        <v>49.866908384363363</v>
      </c>
      <c r="J94" s="4">
        <v>-14.921881725109364</v>
      </c>
      <c r="K94" s="3079" t="str">
        <f>IF(       0&lt;0.01,"***",IF(       0&lt;0.05,"**",IF(       0&lt;0.1,"*","NS")))</f>
        <v>***</v>
      </c>
      <c r="L94" s="4">
        <v>41.376310320977638</v>
      </c>
      <c r="M94" s="4">
        <v>-23.412479788495776</v>
      </c>
      <c r="N94" s="3080" t="str">
        <f>IF(       0&lt;0.01,"***",IF(       0&lt;0.05,"**",IF(       0&lt;0.1,"*","NS")))</f>
        <v>***</v>
      </c>
      <c r="P94" s="296" t="s">
        <v>5835</v>
      </c>
      <c r="Q94" s="4">
        <v>61.857557075760717</v>
      </c>
      <c r="R94" s="4">
        <v>41.376310320977638</v>
      </c>
      <c r="S94" s="4">
        <v>-20.48124675478271</v>
      </c>
      <c r="T94" s="3081" t="str">
        <f>IF(       0&lt;0.01,"***",IF(       0&lt;0.05,"**",IF(       0&lt;0.1,"*","NS")))</f>
        <v>***</v>
      </c>
    </row>
    <row r="96" spans="1:20" x14ac:dyDescent="0.2">
      <c r="A96" s="296" t="s">
        <v>5741</v>
      </c>
      <c r="G96" s="296" t="s">
        <v>5742</v>
      </c>
      <c r="P96" s="296" t="s">
        <v>5743</v>
      </c>
    </row>
    <row r="97" spans="1:20" s="3" customFormat="1" x14ac:dyDescent="0.2">
      <c r="A97" s="5964" t="s">
        <v>4679</v>
      </c>
      <c r="B97" s="5965" t="s">
        <v>4680</v>
      </c>
      <c r="C97" s="5966" t="s">
        <v>4681</v>
      </c>
      <c r="D97" s="5967" t="s">
        <v>4682</v>
      </c>
      <c r="E97" s="5968" t="s">
        <v>4683</v>
      </c>
      <c r="G97" s="5969" t="s">
        <v>4719</v>
      </c>
      <c r="H97" s="5970" t="s">
        <v>4720</v>
      </c>
      <c r="I97" s="5971" t="s">
        <v>4721</v>
      </c>
      <c r="J97" s="5972" t="s">
        <v>4722</v>
      </c>
      <c r="K97" s="5973" t="s">
        <v>4723</v>
      </c>
      <c r="L97" s="5974" t="s">
        <v>4759</v>
      </c>
      <c r="M97" s="5975" t="s">
        <v>4760</v>
      </c>
      <c r="N97" s="5976" t="s">
        <v>4761</v>
      </c>
      <c r="P97" s="5977" t="s">
        <v>4765</v>
      </c>
      <c r="Q97" s="5978" t="s">
        <v>4766</v>
      </c>
      <c r="R97" s="5979" t="s">
        <v>4767</v>
      </c>
      <c r="S97" s="5980" t="s">
        <v>4768</v>
      </c>
      <c r="T97" s="5981" t="s">
        <v>4769</v>
      </c>
    </row>
    <row r="98" spans="1:20" x14ac:dyDescent="0.2">
      <c r="A98" s="296" t="s">
        <v>4684</v>
      </c>
      <c r="B98" s="4">
        <v>14.30152909489464</v>
      </c>
      <c r="C98" s="4">
        <v>9.5819898494639268</v>
      </c>
      <c r="D98" s="4">
        <v>-4.7195392454307381</v>
      </c>
      <c r="E98" s="3082" t="str">
        <f>IF(       0.013&lt;0.01,"***",IF(       0.013&lt;0.05,"**",IF(       0.013&lt;0.1,"*","NS")))</f>
        <v>**</v>
      </c>
      <c r="G98" s="296" t="s">
        <v>4724</v>
      </c>
      <c r="H98" s="4">
        <v>14.30152909489464</v>
      </c>
      <c r="I98" s="4">
        <v>9.9674555301678733</v>
      </c>
      <c r="J98" s="4">
        <v>-4.3340735647268405</v>
      </c>
      <c r="K98" s="3083" t="str">
        <f>IF(       0.023&lt;0.01,"***",IF(       0.023&lt;0.05,"**",IF(       0.023&lt;0.1,"*","NS")))</f>
        <v>**</v>
      </c>
      <c r="L98" s="4">
        <v>6.7091229366936336</v>
      </c>
      <c r="M98" s="4">
        <v>-7.5924061582009825</v>
      </c>
      <c r="N98" s="3084" t="str">
        <f>IF(       0&lt;0.01,"***",IF(       0&lt;0.05,"**",IF(       0&lt;0.1,"*","NS")))</f>
        <v>***</v>
      </c>
      <c r="P98" s="296" t="s">
        <v>4770</v>
      </c>
      <c r="Q98" s="4">
        <v>13.047249723818661</v>
      </c>
      <c r="R98" s="4">
        <v>6.7091229366936336</v>
      </c>
      <c r="S98" s="4">
        <v>-6.3381267871250246</v>
      </c>
      <c r="T98" s="3085" t="str">
        <f>IF(       0.024&lt;0.01,"***",IF(       0.024&lt;0.05,"**",IF(       0.024&lt;0.1,"*","NS")))</f>
        <v>**</v>
      </c>
    </row>
    <row r="99" spans="1:20" x14ac:dyDescent="0.2">
      <c r="A99" s="296" t="s">
        <v>4685</v>
      </c>
      <c r="B99" s="4">
        <v>35.932031070425367</v>
      </c>
      <c r="C99" s="4">
        <v>22.537821643921031</v>
      </c>
      <c r="D99" s="4">
        <v>-13.394209426504236</v>
      </c>
      <c r="E99" s="3086" t="str">
        <f>IF(       0&lt;0.01,"***",IF(       0&lt;0.05,"**",IF(       0&lt;0.1,"*","NS")))</f>
        <v>***</v>
      </c>
      <c r="G99" s="296" t="s">
        <v>4725</v>
      </c>
      <c r="H99" s="4">
        <v>35.932031070425367</v>
      </c>
      <c r="I99" s="4">
        <v>22.96034048679584</v>
      </c>
      <c r="J99" s="4">
        <v>-12.971690583629286</v>
      </c>
      <c r="K99" s="3087" t="str">
        <f>IF(       0&lt;0.01,"***",IF(       0&lt;0.05,"**",IF(       0&lt;0.1,"*","NS")))</f>
        <v>***</v>
      </c>
      <c r="L99" s="4">
        <v>20.52154957789384</v>
      </c>
      <c r="M99" s="4">
        <v>-15.410481492531741</v>
      </c>
      <c r="N99" s="3088" t="str">
        <f>IF(       0.013&lt;0.01,"***",IF(       0.013&lt;0.05,"**",IF(       0.013&lt;0.1,"*","NS")))</f>
        <v>**</v>
      </c>
      <c r="P99" s="296" t="s">
        <v>4771</v>
      </c>
      <c r="Q99" s="4">
        <v>33.31975359681153</v>
      </c>
      <c r="R99" s="4">
        <v>20.52154957789384</v>
      </c>
      <c r="S99" s="4">
        <v>-12.798204018917703</v>
      </c>
      <c r="T99" s="3089" t="str">
        <f>IF(       0.006&lt;0.01,"***",IF(       0.006&lt;0.05,"**",IF(       0.006&lt;0.1,"*","NS")))</f>
        <v>***</v>
      </c>
    </row>
    <row r="100" spans="1:20" x14ac:dyDescent="0.2">
      <c r="A100" s="296" t="s">
        <v>4686</v>
      </c>
      <c r="B100" s="4">
        <v>16.971063920649371</v>
      </c>
      <c r="C100" s="4">
        <v>14.054442928352501</v>
      </c>
      <c r="D100" s="4">
        <v>-2.9166209922968642</v>
      </c>
      <c r="E100" s="3090" t="str">
        <f>IF(       0.318&lt;0.01,"***",IF(       0.318&lt;0.05,"**",IF(       0.318&lt;0.1,"*","NS")))</f>
        <v>NS</v>
      </c>
      <c r="G100" s="296" t="s">
        <v>4726</v>
      </c>
      <c r="H100" s="4">
        <v>16.971063920649371</v>
      </c>
      <c r="I100" s="4">
        <v>15.54592162993484</v>
      </c>
      <c r="J100" s="4">
        <v>-1.4251422907145161</v>
      </c>
      <c r="K100" s="3091" t="str">
        <f>IF(       0.618&lt;0.01,"***",IF(       0.618&lt;0.05,"**",IF(       0.618&lt;0.1,"*","NS")))</f>
        <v>NS</v>
      </c>
      <c r="L100" s="4">
        <v>6.9175729699902453</v>
      </c>
      <c r="M100" s="4">
        <v>-10.053490950659132</v>
      </c>
      <c r="N100" s="3092" t="str">
        <f>IF(       0.001&lt;0.01,"***",IF(       0.001&lt;0.05,"**",IF(       0.001&lt;0.1,"*","NS")))</f>
        <v>***</v>
      </c>
      <c r="P100" s="296" t="s">
        <v>4772</v>
      </c>
      <c r="Q100" s="4">
        <v>16.75409710325512</v>
      </c>
      <c r="R100" s="4">
        <v>6.9175729699902453</v>
      </c>
      <c r="S100" s="4">
        <v>-9.8365241332647901</v>
      </c>
      <c r="T100" s="3093" t="str">
        <f>IF(       0.064&lt;0.01,"***",IF(       0.064&lt;0.05,"**",IF(       0.064&lt;0.1,"*","NS")))</f>
        <v>*</v>
      </c>
    </row>
    <row r="101" spans="1:20" x14ac:dyDescent="0.2">
      <c r="A101" s="296" t="s">
        <v>4687</v>
      </c>
      <c r="B101" s="4">
        <v>11.96509532553133</v>
      </c>
      <c r="C101" s="4">
        <v>7.9075226183411278</v>
      </c>
      <c r="D101" s="4">
        <v>-4.057572707190138</v>
      </c>
      <c r="E101" s="3094" t="str">
        <f>IF(       0.033&lt;0.01,"***",IF(       0.033&lt;0.05,"**",IF(       0.033&lt;0.1,"*","NS")))</f>
        <v>**</v>
      </c>
      <c r="G101" s="296" t="s">
        <v>4727</v>
      </c>
      <c r="H101" s="4">
        <v>11.96509532553133</v>
      </c>
      <c r="I101" s="4">
        <v>8.3657232643840551</v>
      </c>
      <c r="J101" s="4">
        <v>-3.5993720611472915</v>
      </c>
      <c r="K101" s="3095" t="str">
        <f>IF(       0.062&lt;0.01,"***",IF(       0.062&lt;0.05,"**",IF(       0.062&lt;0.1,"*","NS")))</f>
        <v>*</v>
      </c>
      <c r="L101" s="4">
        <v>4.8098804451684396</v>
      </c>
      <c r="M101" s="4">
        <v>-7.1552148803628501</v>
      </c>
      <c r="N101" s="3096" t="str">
        <f>IF(       0.066&lt;0.01,"***",IF(       0.066&lt;0.05,"**",IF(       0.066&lt;0.1,"*","NS")))</f>
        <v>*</v>
      </c>
      <c r="P101" s="296" t="s">
        <v>4773</v>
      </c>
      <c r="Q101" s="4">
        <v>11.17219641941532</v>
      </c>
      <c r="R101" s="4">
        <v>4.8098804451684396</v>
      </c>
      <c r="S101" s="4">
        <v>-6.3623159742469255</v>
      </c>
      <c r="T101" s="3097" t="str">
        <f>IF(       0.086&lt;0.01,"***",IF(       0.086&lt;0.05,"**",IF(       0.086&lt;0.1,"*","NS")))</f>
        <v>*</v>
      </c>
    </row>
    <row r="102" spans="1:20" x14ac:dyDescent="0.2">
      <c r="A102" s="296" t="s">
        <v>4688</v>
      </c>
      <c r="B102" s="4" t="s">
        <v>6067</v>
      </c>
      <c r="C102" s="4" t="s">
        <v>6067</v>
      </c>
      <c r="D102" s="4" t="s">
        <v>6067</v>
      </c>
      <c r="E102" s="4" t="s">
        <v>6067</v>
      </c>
      <c r="G102" s="296" t="s">
        <v>4728</v>
      </c>
      <c r="H102" s="4" t="s">
        <v>6067</v>
      </c>
      <c r="I102" s="4" t="s">
        <v>6067</v>
      </c>
      <c r="J102" s="4" t="s">
        <v>6067</v>
      </c>
      <c r="K102" s="4" t="s">
        <v>6067</v>
      </c>
      <c r="L102" s="4" t="s">
        <v>6067</v>
      </c>
      <c r="M102" s="4" t="s">
        <v>6067</v>
      </c>
      <c r="N102" s="4" t="s">
        <v>6067</v>
      </c>
      <c r="P102" s="296" t="s">
        <v>4774</v>
      </c>
      <c r="Q102" s="4" t="s">
        <v>6067</v>
      </c>
      <c r="R102" s="4" t="s">
        <v>6067</v>
      </c>
      <c r="S102" s="4" t="s">
        <v>6067</v>
      </c>
      <c r="T102" s="4" t="s">
        <v>6067</v>
      </c>
    </row>
    <row r="103" spans="1:20" x14ac:dyDescent="0.2">
      <c r="A103" s="296" t="s">
        <v>4689</v>
      </c>
      <c r="B103" s="4">
        <v>28.625783537217629</v>
      </c>
      <c r="C103" s="4">
        <v>24.609967975183942</v>
      </c>
      <c r="D103" s="4">
        <v>-4.0158155620336116</v>
      </c>
      <c r="E103" s="3098" t="str">
        <f>IF(       0.12&lt;0.01,"***",IF(       0.12&lt;0.05,"**",IF(       0.12&lt;0.1,"*","NS")))</f>
        <v>NS</v>
      </c>
      <c r="G103" s="296" t="s">
        <v>4729</v>
      </c>
      <c r="H103" s="4">
        <v>28.625783537217629</v>
      </c>
      <c r="I103" s="4">
        <v>24.855468046798979</v>
      </c>
      <c r="J103" s="4">
        <v>-3.770315490418604</v>
      </c>
      <c r="K103" s="3099" t="str">
        <f>IF(       0.133&lt;0.01,"***",IF(       0.133&lt;0.05,"**",IF(       0.133&lt;0.1,"*","NS")))</f>
        <v>NS</v>
      </c>
      <c r="L103" s="4">
        <v>23.380996055104191</v>
      </c>
      <c r="M103" s="4">
        <v>-5.244787482113388</v>
      </c>
      <c r="N103" s="3100" t="str">
        <f>IF(       0.421&lt;0.01,"***",IF(       0.421&lt;0.05,"**",IF(       0.421&lt;0.1,"*","NS")))</f>
        <v>NS</v>
      </c>
      <c r="P103" s="296" t="s">
        <v>4775</v>
      </c>
      <c r="Q103" s="4">
        <v>27.86041586121889</v>
      </c>
      <c r="R103" s="4">
        <v>23.380996055104191</v>
      </c>
      <c r="S103" s="4">
        <v>-4.4794198061148114</v>
      </c>
      <c r="T103" s="3101" t="str">
        <f>IF(       0.483&lt;0.01,"***",IF(       0.483&lt;0.05,"**",IF(       0.483&lt;0.1,"*","NS")))</f>
        <v>NS</v>
      </c>
    </row>
    <row r="104" spans="1:20" x14ac:dyDescent="0.2">
      <c r="A104" s="296" t="s">
        <v>4690</v>
      </c>
      <c r="B104" s="4">
        <v>93.204752376208035</v>
      </c>
      <c r="C104" s="4">
        <v>86.135891435643771</v>
      </c>
      <c r="D104" s="4">
        <v>-7.0688609405641945</v>
      </c>
      <c r="E104" s="3102" t="str">
        <f>IF(       0&lt;0.01,"***",IF(       0&lt;0.05,"**",IF(       0&lt;0.1,"*","NS")))</f>
        <v>***</v>
      </c>
      <c r="G104" s="296" t="s">
        <v>4730</v>
      </c>
      <c r="H104" s="4">
        <v>93.204752376208035</v>
      </c>
      <c r="I104" s="4">
        <v>85.360381642681773</v>
      </c>
      <c r="J104" s="4">
        <v>-7.8443707335261061</v>
      </c>
      <c r="K104" s="3103" t="str">
        <f>IF(       0.001&lt;0.01,"***",IF(       0.001&lt;0.05,"**",IF(       0.001&lt;0.1,"*","NS")))</f>
        <v>***</v>
      </c>
      <c r="L104" s="4">
        <v>89.268436125704895</v>
      </c>
      <c r="M104" s="4">
        <v>-3.9363162505032405</v>
      </c>
      <c r="N104" s="3104" t="str">
        <f>IF(       0.42&lt;0.01,"***",IF(       0.42&lt;0.05,"**",IF(       0.42&lt;0.1,"*","NS")))</f>
        <v>NS</v>
      </c>
      <c r="P104" s="296" t="s">
        <v>4776</v>
      </c>
      <c r="Q104" s="4">
        <v>92.38732507125853</v>
      </c>
      <c r="R104" s="4">
        <v>89.268436125704895</v>
      </c>
      <c r="S104" s="4">
        <v>-3.1188889455535884</v>
      </c>
      <c r="T104" s="3105" t="str">
        <f>IF(       0.5&lt;0.01,"***",IF(       0.5&lt;0.05,"**",IF(       0.5&lt;0.1,"*","NS")))</f>
        <v>NS</v>
      </c>
    </row>
    <row r="105" spans="1:20" x14ac:dyDescent="0.2">
      <c r="A105" s="296" t="s">
        <v>4691</v>
      </c>
      <c r="B105" s="4" t="s">
        <v>6067</v>
      </c>
      <c r="C105" s="4" t="s">
        <v>6067</v>
      </c>
      <c r="D105" s="4" t="s">
        <v>6067</v>
      </c>
      <c r="E105" s="4" t="s">
        <v>6067</v>
      </c>
      <c r="G105" s="296" t="s">
        <v>4731</v>
      </c>
      <c r="H105" s="4" t="s">
        <v>6067</v>
      </c>
      <c r="I105" s="4" t="s">
        <v>6067</v>
      </c>
      <c r="J105" s="4" t="s">
        <v>6067</v>
      </c>
      <c r="K105" s="4" t="s">
        <v>6067</v>
      </c>
      <c r="L105" s="4" t="s">
        <v>6067</v>
      </c>
      <c r="M105" s="4" t="s">
        <v>6067</v>
      </c>
      <c r="N105" s="4" t="s">
        <v>6067</v>
      </c>
      <c r="P105" s="296" t="s">
        <v>4777</v>
      </c>
      <c r="Q105" s="4" t="s">
        <v>6067</v>
      </c>
      <c r="R105" s="4" t="s">
        <v>6067</v>
      </c>
      <c r="S105" s="4" t="s">
        <v>6067</v>
      </c>
      <c r="T105" s="4" t="s">
        <v>6067</v>
      </c>
    </row>
    <row r="106" spans="1:20" x14ac:dyDescent="0.2">
      <c r="A106" s="296" t="s">
        <v>4692</v>
      </c>
      <c r="B106" s="4">
        <v>27.795246170617631</v>
      </c>
      <c r="C106" s="4">
        <v>18.063394848144039</v>
      </c>
      <c r="D106" s="4">
        <v>-9.7318513224736627</v>
      </c>
      <c r="E106" s="3106" t="str">
        <f>IF(       0.001&lt;0.01,"***",IF(       0.001&lt;0.05,"**",IF(       0.001&lt;0.1,"*","NS")))</f>
        <v>***</v>
      </c>
      <c r="G106" s="296" t="s">
        <v>4732</v>
      </c>
      <c r="H106" s="4">
        <v>27.795246170617631</v>
      </c>
      <c r="I106" s="4">
        <v>20.012394076423231</v>
      </c>
      <c r="J106" s="4">
        <v>-7.7828520941943449</v>
      </c>
      <c r="K106" s="3107" t="str">
        <f>IF(       0.005&lt;0.01,"***",IF(       0.005&lt;0.05,"**",IF(       0.005&lt;0.1,"*","NS")))</f>
        <v>***</v>
      </c>
      <c r="L106" s="4">
        <v>12.91019946292996</v>
      </c>
      <c r="M106" s="4">
        <v>-14.885046707687511</v>
      </c>
      <c r="N106" s="3108" t="str">
        <f>IF(       0.535&lt;0.01,"***",IF(       0.535&lt;0.05,"**",IF(       0.535&lt;0.1,"*","NS")))</f>
        <v>NS</v>
      </c>
      <c r="P106" s="296" t="s">
        <v>4778</v>
      </c>
      <c r="Q106" s="4">
        <v>25.916450216038751</v>
      </c>
      <c r="R106" s="4">
        <v>12.91019946292996</v>
      </c>
      <c r="S106" s="4">
        <v>-13.006250753108787</v>
      </c>
      <c r="T106" s="3109" t="str">
        <f>IF(       0.004&lt;0.01,"***",IF(       0.004&lt;0.05,"**",IF(       0.004&lt;0.1,"*","NS")))</f>
        <v>***</v>
      </c>
    </row>
    <row r="107" spans="1:20" x14ac:dyDescent="0.2">
      <c r="A107" s="296" t="s">
        <v>4693</v>
      </c>
      <c r="B107" s="4">
        <v>9.5191332469527925</v>
      </c>
      <c r="C107" s="4">
        <v>7.3860354424706509</v>
      </c>
      <c r="D107" s="4">
        <v>-2.1330978044821212</v>
      </c>
      <c r="E107" s="3110" t="str">
        <f>IF(       0.045&lt;0.01,"***",IF(       0.045&lt;0.05,"**",IF(       0.045&lt;0.1,"*","NS")))</f>
        <v>**</v>
      </c>
      <c r="G107" s="296" t="s">
        <v>4733</v>
      </c>
      <c r="H107" s="4">
        <v>9.5191332469527925</v>
      </c>
      <c r="I107" s="4">
        <v>7.2638092981479661</v>
      </c>
      <c r="J107" s="4">
        <v>-2.2553239488048096</v>
      </c>
      <c r="K107" s="3111" t="str">
        <f>IF(       0.045&lt;0.01,"***",IF(       0.045&lt;0.05,"**",IF(       0.045&lt;0.1,"*","NS")))</f>
        <v>**</v>
      </c>
      <c r="L107" s="4">
        <v>8.1032923902585416</v>
      </c>
      <c r="M107" s="4">
        <v>-1.4158408566942609</v>
      </c>
      <c r="N107" s="3112" t="str">
        <f>IF(       0.002&lt;0.01,"***",IF(       0.002&lt;0.05,"**",IF(       0.002&lt;0.1,"*","NS")))</f>
        <v>***</v>
      </c>
      <c r="P107" s="296" t="s">
        <v>4779</v>
      </c>
      <c r="Q107" s="4">
        <v>8.7975621522345353</v>
      </c>
      <c r="R107" s="4">
        <v>8.1032923902585416</v>
      </c>
      <c r="S107" s="4">
        <v>-0.69426976197601042</v>
      </c>
      <c r="T107" s="3113" t="str">
        <f>IF(       0.725&lt;0.01,"***",IF(       0.725&lt;0.05,"**",IF(       0.725&lt;0.1,"*","NS")))</f>
        <v>NS</v>
      </c>
    </row>
    <row r="108" spans="1:20" x14ac:dyDescent="0.2">
      <c r="A108" s="296" t="s">
        <v>4694</v>
      </c>
      <c r="B108" s="4">
        <v>43.016480440504822</v>
      </c>
      <c r="C108" s="4">
        <v>37.89497998262258</v>
      </c>
      <c r="D108" s="4">
        <v>-5.1215004578823287</v>
      </c>
      <c r="E108" s="3114" t="str">
        <f>IF(       0.073&lt;0.01,"***",IF(       0.073&lt;0.05,"**",IF(       0.073&lt;0.1,"*","NS")))</f>
        <v>*</v>
      </c>
      <c r="G108" s="296" t="s">
        <v>4734</v>
      </c>
      <c r="H108" s="4">
        <v>43.016480440504822</v>
      </c>
      <c r="I108" s="4">
        <v>37.7833132662089</v>
      </c>
      <c r="J108" s="4">
        <v>-5.2331671742959678</v>
      </c>
      <c r="K108" s="3115" t="str">
        <f>IF(       0.063&lt;0.01,"***",IF(       0.063&lt;0.05,"**",IF(       0.063&lt;0.1,"*","NS")))</f>
        <v>*</v>
      </c>
      <c r="L108" s="4">
        <v>38.345368654873987</v>
      </c>
      <c r="M108" s="4">
        <v>-4.6711117856307665</v>
      </c>
      <c r="N108" s="3116" t="str">
        <f>IF(       0.485&lt;0.01,"***",IF(       0.485&lt;0.05,"**",IF(       0.485&lt;0.1,"*","NS")))</f>
        <v>NS</v>
      </c>
      <c r="P108" s="296" t="s">
        <v>4780</v>
      </c>
      <c r="Q108" s="4">
        <v>42.212738822938711</v>
      </c>
      <c r="R108" s="4">
        <v>38.345368654873987</v>
      </c>
      <c r="S108" s="4">
        <v>-3.8673701680647197</v>
      </c>
      <c r="T108" s="3117" t="str">
        <f>IF(       0.535&lt;0.01,"***",IF(       0.535&lt;0.05,"**",IF(       0.535&lt;0.1,"*","NS")))</f>
        <v>NS</v>
      </c>
    </row>
    <row r="109" spans="1:20" x14ac:dyDescent="0.2">
      <c r="A109" s="296" t="s">
        <v>4695</v>
      </c>
      <c r="B109" s="4">
        <v>62.437734969149083</v>
      </c>
      <c r="C109" s="4">
        <v>43.681439290194177</v>
      </c>
      <c r="D109" s="4">
        <v>-18.756295678954523</v>
      </c>
      <c r="E109" s="3118" t="str">
        <f>IF(       0&lt;0.01,"***",IF(       0&lt;0.05,"**",IF(       0&lt;0.1,"*","NS")))</f>
        <v>***</v>
      </c>
      <c r="G109" s="296" t="s">
        <v>4735</v>
      </c>
      <c r="H109" s="4">
        <v>62.437734969149083</v>
      </c>
      <c r="I109" s="4">
        <v>45.203727481518371</v>
      </c>
      <c r="J109" s="4">
        <v>-17.234007487630947</v>
      </c>
      <c r="K109" s="3119" t="str">
        <f>IF(       0&lt;0.01,"***",IF(       0&lt;0.05,"**",IF(       0&lt;0.1,"*","NS")))</f>
        <v>***</v>
      </c>
      <c r="L109" s="4">
        <v>35.516234370873264</v>
      </c>
      <c r="M109" s="4">
        <v>-26.921500598275806</v>
      </c>
      <c r="N109" s="3120" t="str">
        <f>IF(       0.46&lt;0.01,"***",IF(       0.46&lt;0.05,"**",IF(       0.46&lt;0.1,"*","NS")))</f>
        <v>NS</v>
      </c>
      <c r="P109" s="296" t="s">
        <v>4781</v>
      </c>
      <c r="Q109" s="4">
        <v>59.873964159900027</v>
      </c>
      <c r="R109" s="4">
        <v>35.516234370873264</v>
      </c>
      <c r="S109" s="4">
        <v>-24.357729789026489</v>
      </c>
      <c r="T109" s="3121" t="str">
        <f>IF(       0.001&lt;0.01,"***",IF(       0.001&lt;0.05,"**",IF(       0.001&lt;0.1,"*","NS")))</f>
        <v>***</v>
      </c>
    </row>
    <row r="110" spans="1:20" x14ac:dyDescent="0.2">
      <c r="A110" s="296" t="s">
        <v>4696</v>
      </c>
      <c r="B110" s="4">
        <v>11.545281967745771</v>
      </c>
      <c r="C110" s="4">
        <v>4.9326461801022514</v>
      </c>
      <c r="D110" s="4">
        <v>-6.6126357876434474</v>
      </c>
      <c r="E110" s="3122" t="str">
        <f>IF(       0.031&lt;0.01,"***",IF(       0.031&lt;0.05,"**",IF(       0.031&lt;0.1,"*","NS")))</f>
        <v>**</v>
      </c>
      <c r="G110" s="296" t="s">
        <v>4736</v>
      </c>
      <c r="H110" s="4">
        <v>11.545281967745771</v>
      </c>
      <c r="I110" s="4">
        <v>5.0804396894263402</v>
      </c>
      <c r="J110" s="4">
        <v>-6.4648422783193977</v>
      </c>
      <c r="K110" s="3123" t="str">
        <f>IF(       0.028&lt;0.01,"***",IF(       0.028&lt;0.05,"**",IF(       0.028&lt;0.1,"*","NS")))</f>
        <v>**</v>
      </c>
      <c r="L110" s="4">
        <v>4.3529763880934054</v>
      </c>
      <c r="M110" s="4">
        <v>-7.1923055796524</v>
      </c>
      <c r="N110" s="3124" t="str">
        <f>IF(       0&lt;0.01,"***",IF(       0&lt;0.05,"**",IF(       0&lt;0.1,"*","NS")))</f>
        <v>***</v>
      </c>
      <c r="P110" s="296" t="s">
        <v>4782</v>
      </c>
      <c r="Q110" s="4">
        <v>10.65742504251757</v>
      </c>
      <c r="R110" s="4">
        <v>4.3529763880934054</v>
      </c>
      <c r="S110" s="4">
        <v>-6.3044486544241822</v>
      </c>
      <c r="T110" s="3125" t="str">
        <f>IF(       0.17&lt;0.01,"***",IF(       0.17&lt;0.05,"**",IF(       0.17&lt;0.1,"*","NS")))</f>
        <v>NS</v>
      </c>
    </row>
    <row r="111" spans="1:20" x14ac:dyDescent="0.2">
      <c r="A111" s="296" t="s">
        <v>4697</v>
      </c>
      <c r="B111" s="4">
        <v>25.042867120178538</v>
      </c>
      <c r="C111" s="4">
        <v>21.610241159441589</v>
      </c>
      <c r="D111" s="4">
        <v>-3.4326259607369964</v>
      </c>
      <c r="E111" s="3126" t="str">
        <f>IF(       0.167&lt;0.01,"***",IF(       0.167&lt;0.05,"**",IF(       0.167&lt;0.1,"*","NS")))</f>
        <v>NS</v>
      </c>
      <c r="G111" s="296" t="s">
        <v>4737</v>
      </c>
      <c r="H111" s="4">
        <v>25.042867120178538</v>
      </c>
      <c r="I111" s="4">
        <v>20.938207845925032</v>
      </c>
      <c r="J111" s="4">
        <v>-4.1046592742535157</v>
      </c>
      <c r="K111" s="3127" t="str">
        <f>IF(       0.132&lt;0.01,"***",IF(       0.132&lt;0.05,"**",IF(       0.132&lt;0.1,"*","NS")))</f>
        <v>NS</v>
      </c>
      <c r="L111" s="4">
        <v>24.20510103737017</v>
      </c>
      <c r="M111" s="4">
        <v>-0.83776608280836662</v>
      </c>
      <c r="N111" s="3128" t="str">
        <f>IF(       0.135&lt;0.01,"***",IF(       0.135&lt;0.05,"**",IF(       0.135&lt;0.1,"*","NS")))</f>
        <v>NS</v>
      </c>
      <c r="P111" s="296" t="s">
        <v>4783</v>
      </c>
      <c r="Q111" s="4">
        <v>23.960276083839211</v>
      </c>
      <c r="R111" s="4">
        <v>24.20510103737017</v>
      </c>
      <c r="S111" s="4">
        <v>0.24482495353096279</v>
      </c>
      <c r="T111" s="3129" t="str">
        <f>IF(       0.948&lt;0.01,"***",IF(       0.948&lt;0.05,"**",IF(       0.948&lt;0.1,"*","NS")))</f>
        <v>NS</v>
      </c>
    </row>
    <row r="112" spans="1:20" x14ac:dyDescent="0.2">
      <c r="A112" s="296" t="s">
        <v>4698</v>
      </c>
      <c r="B112" s="4">
        <v>9.5905778569418274</v>
      </c>
      <c r="C112" s="4">
        <v>7.2251901294792491</v>
      </c>
      <c r="D112" s="4">
        <v>-2.3653877274625645</v>
      </c>
      <c r="E112" s="3130" t="str">
        <f>IF(       0.119&lt;0.01,"***",IF(       0.119&lt;0.05,"**",IF(       0.119&lt;0.1,"*","NS")))</f>
        <v>NS</v>
      </c>
      <c r="G112" s="296" t="s">
        <v>4738</v>
      </c>
      <c r="H112" s="4">
        <v>9.5905778569418274</v>
      </c>
      <c r="I112" s="4">
        <v>7.7566999831565386</v>
      </c>
      <c r="J112" s="4">
        <v>-1.8338778737852806</v>
      </c>
      <c r="K112" s="3131" t="str">
        <f>IF(       0.272&lt;0.01,"***",IF(       0.272&lt;0.05,"**",IF(       0.272&lt;0.1,"*","NS")))</f>
        <v>NS</v>
      </c>
      <c r="L112" s="4">
        <v>4.0905210588936729</v>
      </c>
      <c r="M112" s="4">
        <v>-5.5000567980481598</v>
      </c>
      <c r="N112" s="3132" t="str">
        <f>IF(       0.83&lt;0.01,"***",IF(       0.83&lt;0.05,"**",IF(       0.83&lt;0.1,"*","NS")))</f>
        <v>NS</v>
      </c>
      <c r="P112" s="296" t="s">
        <v>4784</v>
      </c>
      <c r="Q112" s="4">
        <v>9.2500092563489513</v>
      </c>
      <c r="R112" s="4">
        <v>4.0905210588936729</v>
      </c>
      <c r="S112" s="4">
        <v>-5.1594881974553575</v>
      </c>
      <c r="T112" s="3133" t="str">
        <f>IF(       0.051&lt;0.01,"***",IF(       0.051&lt;0.05,"**",IF(       0.051&lt;0.1,"*","NS")))</f>
        <v>*</v>
      </c>
    </row>
    <row r="113" spans="1:20" x14ac:dyDescent="0.2">
      <c r="A113" s="296" t="s">
        <v>5835</v>
      </c>
      <c r="B113" s="4">
        <v>34.064760184271229</v>
      </c>
      <c r="C113" s="4">
        <v>22.850039855501151</v>
      </c>
      <c r="D113" s="4">
        <v>-11.214720328769806</v>
      </c>
      <c r="E113" s="3134" t="str">
        <f>IF(       0&lt;0.01,"***",IF(       0&lt;0.05,"**",IF(       0&lt;0.1,"*","NS")))</f>
        <v>***</v>
      </c>
      <c r="G113" s="296" t="s">
        <v>5835</v>
      </c>
      <c r="H113" s="4">
        <v>34.064760184271229</v>
      </c>
      <c r="I113" s="4">
        <v>23.00525320857566</v>
      </c>
      <c r="J113" s="4">
        <v>-11.059506975695541</v>
      </c>
      <c r="K113" s="3135" t="str">
        <f>IF(       0&lt;0.01,"***",IF(       0&lt;0.05,"**",IF(       0&lt;0.1,"*","NS")))</f>
        <v>***</v>
      </c>
      <c r="L113" s="4">
        <v>22.0893276085304</v>
      </c>
      <c r="M113" s="4">
        <v>-11.975432575741058</v>
      </c>
      <c r="N113" s="3136" t="str">
        <f>IF(       0&lt;0.01,"***",IF(       0&lt;0.05,"**",IF(       0&lt;0.1,"*","NS")))</f>
        <v>***</v>
      </c>
      <c r="P113" s="296" t="s">
        <v>5835</v>
      </c>
      <c r="Q113" s="4">
        <v>31.948081564997711</v>
      </c>
      <c r="R113" s="4">
        <v>22.0893276085304</v>
      </c>
      <c r="S113" s="4">
        <v>-9.8587539564675222</v>
      </c>
      <c r="T113" s="3137" t="str">
        <f>IF(       0&lt;0.01,"***",IF(       0&lt;0.05,"**",IF(       0&lt;0.1,"*","NS")))</f>
        <v>***</v>
      </c>
    </row>
    <row r="115" spans="1:20" x14ac:dyDescent="0.2">
      <c r="A115" s="296" t="s">
        <v>5780</v>
      </c>
      <c r="G115" s="296" t="s">
        <v>5781</v>
      </c>
      <c r="P115" s="296" t="s">
        <v>5782</v>
      </c>
    </row>
    <row r="116" spans="1:20" s="3" customFormat="1" x14ac:dyDescent="0.2">
      <c r="A116" s="5982" t="s">
        <v>4699</v>
      </c>
      <c r="B116" s="5983" t="s">
        <v>4700</v>
      </c>
      <c r="C116" s="5984" t="s">
        <v>4701</v>
      </c>
      <c r="D116" s="5985" t="s">
        <v>4702</v>
      </c>
      <c r="E116" s="5986" t="s">
        <v>4703</v>
      </c>
      <c r="G116" s="5987" t="s">
        <v>4739</v>
      </c>
      <c r="H116" s="5988" t="s">
        <v>4740</v>
      </c>
      <c r="I116" s="5989" t="s">
        <v>4741</v>
      </c>
      <c r="J116" s="5990" t="s">
        <v>4742</v>
      </c>
      <c r="K116" s="5991" t="s">
        <v>4743</v>
      </c>
      <c r="L116" s="5992" t="s">
        <v>4762</v>
      </c>
      <c r="M116" s="5993" t="s">
        <v>4763</v>
      </c>
      <c r="N116" s="5994" t="s">
        <v>4764</v>
      </c>
      <c r="P116" s="5995" t="s">
        <v>4785</v>
      </c>
      <c r="Q116" s="5996" t="s">
        <v>4786</v>
      </c>
      <c r="R116" s="5997" t="s">
        <v>4787</v>
      </c>
      <c r="S116" s="5998" t="s">
        <v>4788</v>
      </c>
      <c r="T116" s="5999" t="s">
        <v>4789</v>
      </c>
    </row>
    <row r="117" spans="1:20" x14ac:dyDescent="0.2">
      <c r="A117" s="296" t="s">
        <v>4704</v>
      </c>
      <c r="B117" s="4">
        <v>8.6834283655202498</v>
      </c>
      <c r="C117" s="4">
        <v>7.6949439612034016</v>
      </c>
      <c r="D117" s="4">
        <v>-0.98848440431684148</v>
      </c>
      <c r="E117" s="3138" t="str">
        <f>IF(       0.741&lt;0.01,"***",IF(       0.741&lt;0.05,"**",IF(       0.741&lt;0.1,"*","NS")))</f>
        <v>NS</v>
      </c>
      <c r="G117" s="296" t="s">
        <v>4744</v>
      </c>
      <c r="H117" s="4">
        <v>8.6834283655202498</v>
      </c>
      <c r="I117" s="4">
        <v>7.6172921384124823</v>
      </c>
      <c r="J117" s="4">
        <v>-1.0661362271077655</v>
      </c>
      <c r="K117" s="3139" t="str">
        <f>IF(       0.723&lt;0.01,"***",IF(       0.723&lt;0.05,"**",IF(       0.723&lt;0.1,"*","NS")))</f>
        <v>NS</v>
      </c>
      <c r="L117" s="4">
        <v>7.8534326226307831</v>
      </c>
      <c r="M117" s="4">
        <v>-0.8299957428894561</v>
      </c>
      <c r="N117" s="3140" t="str">
        <f>IF(       0.851&lt;0.01,"***",IF(       0.851&lt;0.05,"**",IF(       0.851&lt;0.1,"*","NS")))</f>
        <v>NS</v>
      </c>
      <c r="P117" s="296" t="s">
        <v>4790</v>
      </c>
      <c r="Q117" s="4">
        <v>7.9849547217847618</v>
      </c>
      <c r="R117" s="4">
        <v>7.8534326226307831</v>
      </c>
      <c r="S117" s="4">
        <v>-0.13152209915397201</v>
      </c>
      <c r="T117" s="3141" t="str">
        <f>IF(       0.973&lt;0.01,"***",IF(       0.973&lt;0.05,"**",IF(       0.973&lt;0.1,"*","NS")))</f>
        <v>NS</v>
      </c>
    </row>
    <row r="118" spans="1:20" x14ac:dyDescent="0.2">
      <c r="A118" s="296" t="s">
        <v>4705</v>
      </c>
      <c r="B118" s="4">
        <v>34.03272980847732</v>
      </c>
      <c r="C118" s="4">
        <v>28.97795118286566</v>
      </c>
      <c r="D118" s="4">
        <v>-5.0547786256116423</v>
      </c>
      <c r="E118" s="3142" t="str">
        <f>IF(       0.169&lt;0.01,"***",IF(       0.169&lt;0.05,"**",IF(       0.169&lt;0.1,"*","NS")))</f>
        <v>NS</v>
      </c>
      <c r="G118" s="296" t="s">
        <v>4745</v>
      </c>
      <c r="H118" s="4">
        <v>34.03272980847732</v>
      </c>
      <c r="I118" s="4">
        <v>28.806245830215111</v>
      </c>
      <c r="J118" s="4">
        <v>-5.2264839782622001</v>
      </c>
      <c r="K118" s="3143" t="str">
        <f>IF(       0.205&lt;0.01,"***",IF(       0.205&lt;0.05,"**",IF(       0.205&lt;0.1,"*","NS")))</f>
        <v>NS</v>
      </c>
      <c r="L118" s="4">
        <v>29.269136396180208</v>
      </c>
      <c r="M118" s="4">
        <v>-4.7635934122971202</v>
      </c>
      <c r="N118" s="3144" t="str">
        <f>IF(       0.259&lt;0.01,"***",IF(       0.259&lt;0.05,"**",IF(       0.259&lt;0.1,"*","NS")))</f>
        <v>NS</v>
      </c>
      <c r="P118" s="296" t="s">
        <v>4791</v>
      </c>
      <c r="Q118" s="4">
        <v>30.893883290327722</v>
      </c>
      <c r="R118" s="4">
        <v>29.269136396180208</v>
      </c>
      <c r="S118" s="4">
        <v>-1.6247468941475216</v>
      </c>
      <c r="T118" s="3145" t="str">
        <f>IF(       0.65&lt;0.01,"***",IF(       0.65&lt;0.05,"**",IF(       0.65&lt;0.1,"*","NS")))</f>
        <v>NS</v>
      </c>
    </row>
    <row r="119" spans="1:20" x14ac:dyDescent="0.2">
      <c r="A119" s="296" t="s">
        <v>4706</v>
      </c>
      <c r="B119" s="4">
        <v>16.254628191806312</v>
      </c>
      <c r="C119" s="4">
        <v>9.4233936871374731</v>
      </c>
      <c r="D119" s="4">
        <v>-6.8312345046688483</v>
      </c>
      <c r="E119" s="3146" t="str">
        <f>IF(       0.122&lt;0.01,"***",IF(       0.122&lt;0.05,"**",IF(       0.122&lt;0.1,"*","NS")))</f>
        <v>NS</v>
      </c>
      <c r="G119" s="296" t="s">
        <v>4746</v>
      </c>
      <c r="H119" s="4">
        <v>16.254628191806312</v>
      </c>
      <c r="I119" s="4">
        <v>10.84943973464444</v>
      </c>
      <c r="J119" s="4">
        <v>-5.4051884571618904</v>
      </c>
      <c r="K119" s="3147" t="str">
        <f>IF(       0.196&lt;0.01,"***",IF(       0.196&lt;0.05,"**",IF(       0.196&lt;0.1,"*","NS")))</f>
        <v>NS</v>
      </c>
      <c r="L119" s="4">
        <v>6.2090560697422452</v>
      </c>
      <c r="M119" s="4">
        <v>-10.04557212206408</v>
      </c>
      <c r="N119" s="3148" t="str">
        <f>IF(       0.073&lt;0.01,"***",IF(       0.073&lt;0.05,"**",IF(       0.073&lt;0.1,"*","NS")))</f>
        <v>*</v>
      </c>
      <c r="P119" s="296" t="s">
        <v>4792</v>
      </c>
      <c r="Q119" s="4">
        <v>13.66714412780513</v>
      </c>
      <c r="R119" s="4">
        <v>6.2090560697422452</v>
      </c>
      <c r="S119" s="4">
        <v>-7.4580880580629039</v>
      </c>
      <c r="T119" s="3149" t="str">
        <f>IF(       0.071&lt;0.01,"***",IF(       0.071&lt;0.05,"**",IF(       0.071&lt;0.1,"*","NS")))</f>
        <v>*</v>
      </c>
    </row>
    <row r="120" spans="1:20" x14ac:dyDescent="0.2">
      <c r="A120" s="296" t="s">
        <v>4707</v>
      </c>
      <c r="B120" s="4">
        <v>15.511581282591781</v>
      </c>
      <c r="C120" s="4">
        <v>9.9503534210398339</v>
      </c>
      <c r="D120" s="4">
        <v>-5.5612278615519424</v>
      </c>
      <c r="E120" s="3150" t="str">
        <f>IF(       0.074&lt;0.01,"***",IF(       0.074&lt;0.05,"**",IF(       0.074&lt;0.1,"*","NS")))</f>
        <v>*</v>
      </c>
      <c r="G120" s="296" t="s">
        <v>4747</v>
      </c>
      <c r="H120" s="4">
        <v>15.511581282591781</v>
      </c>
      <c r="I120" s="4">
        <v>9.7002434787108864</v>
      </c>
      <c r="J120" s="4">
        <v>-5.8113378038808614</v>
      </c>
      <c r="K120" s="3151" t="str">
        <f>IF(       0.059&lt;0.01,"***",IF(       0.059&lt;0.05,"**",IF(       0.059&lt;0.1,"*","NS")))</f>
        <v>*</v>
      </c>
      <c r="L120" s="4">
        <v>10.5328903788677</v>
      </c>
      <c r="M120" s="4">
        <v>-4.9786909037240603</v>
      </c>
      <c r="N120" s="3152" t="str">
        <f>IF(       0.271&lt;0.01,"***",IF(       0.271&lt;0.05,"**",IF(       0.271&lt;0.1,"*","NS")))</f>
        <v>NS</v>
      </c>
      <c r="P120" s="296" t="s">
        <v>4793</v>
      </c>
      <c r="Q120" s="4">
        <v>12.31548445340864</v>
      </c>
      <c r="R120" s="4">
        <v>10.5328903788677</v>
      </c>
      <c r="S120" s="4">
        <v>-1.7825940745409543</v>
      </c>
      <c r="T120" s="3153" t="str">
        <f>IF(       0.652&lt;0.01,"***",IF(       0.652&lt;0.05,"**",IF(       0.652&lt;0.1,"*","NS")))</f>
        <v>NS</v>
      </c>
    </row>
    <row r="121" spans="1:20" x14ac:dyDescent="0.2">
      <c r="A121" s="296" t="s">
        <v>4708</v>
      </c>
      <c r="B121" s="4">
        <v>25.22536517304199</v>
      </c>
      <c r="C121" s="4">
        <v>26.77102660446684</v>
      </c>
      <c r="D121" s="4">
        <v>1.545661431424864</v>
      </c>
      <c r="E121" s="3154" t="str">
        <f>IF(       0.744&lt;0.01,"***",IF(       0.744&lt;0.05,"**",IF(       0.744&lt;0.1,"*","NS")))</f>
        <v>NS</v>
      </c>
      <c r="G121" s="296" t="s">
        <v>4748</v>
      </c>
      <c r="H121" s="4">
        <v>25.22536517304199</v>
      </c>
      <c r="I121" s="4">
        <v>30.70646085493803</v>
      </c>
      <c r="J121" s="4">
        <v>5.4810956818960053</v>
      </c>
      <c r="K121" s="3155" t="str">
        <f>IF(       0.208&lt;0.01,"***",IF(       0.208&lt;0.05,"**",IF(       0.208&lt;0.1,"*","NS")))</f>
        <v>NS</v>
      </c>
      <c r="L121" s="4">
        <v>14.480191474473591</v>
      </c>
      <c r="M121" s="4">
        <v>-10.745173698568406</v>
      </c>
      <c r="N121" s="3156" t="str">
        <f>IF(       0.117&lt;0.01,"***",IF(       0.117&lt;0.05,"**",IF(       0.117&lt;0.1,"*","NS")))</f>
        <v>NS</v>
      </c>
      <c r="P121" s="296" t="s">
        <v>4794</v>
      </c>
      <c r="Q121" s="4">
        <v>28.48371556634067</v>
      </c>
      <c r="R121" s="4">
        <v>14.480191474473591</v>
      </c>
      <c r="S121" s="4">
        <v>-14.003524091867041</v>
      </c>
      <c r="T121" s="3157" t="str">
        <f>IF(       0.009&lt;0.01,"***",IF(       0.009&lt;0.05,"**",IF(       0.009&lt;0.1,"*","NS")))</f>
        <v>***</v>
      </c>
    </row>
    <row r="122" spans="1:20" x14ac:dyDescent="0.2">
      <c r="A122" s="296" t="s">
        <v>4709</v>
      </c>
      <c r="B122" s="4">
        <v>25.724453877360769</v>
      </c>
      <c r="C122" s="4">
        <v>18.650537074365602</v>
      </c>
      <c r="D122" s="4">
        <v>-7.0739168029952264</v>
      </c>
      <c r="E122" s="3158" t="str">
        <f>IF(       0.063&lt;0.01,"***",IF(       0.063&lt;0.05,"**",IF(       0.063&lt;0.1,"*","NS")))</f>
        <v>*</v>
      </c>
      <c r="G122" s="296" t="s">
        <v>4749</v>
      </c>
      <c r="H122" s="4">
        <v>25.724453877360769</v>
      </c>
      <c r="I122" s="4">
        <v>18.88976786431996</v>
      </c>
      <c r="J122" s="4">
        <v>-6.8346860130407974</v>
      </c>
      <c r="K122" s="3159" t="str">
        <f>IF(       0.106&lt;0.01,"***",IF(       0.106&lt;0.05,"**",IF(       0.106&lt;0.1,"*","NS")))</f>
        <v>NS</v>
      </c>
      <c r="L122" s="4">
        <v>18.15101067398766</v>
      </c>
      <c r="M122" s="4">
        <v>-7.5734432033731158</v>
      </c>
      <c r="N122" s="3160" t="str">
        <f>IF(       0.041&lt;0.01,"***",IF(       0.041&lt;0.05,"**",IF(       0.041&lt;0.1,"*","NS")))</f>
        <v>**</v>
      </c>
      <c r="P122" s="296" t="s">
        <v>4795</v>
      </c>
      <c r="Q122" s="4">
        <v>21.789273173412209</v>
      </c>
      <c r="R122" s="4">
        <v>18.15101067398766</v>
      </c>
      <c r="S122" s="4">
        <v>-3.6382624994245694</v>
      </c>
      <c r="T122" s="3161" t="str">
        <f>IF(       0.163&lt;0.01,"***",IF(       0.163&lt;0.05,"**",IF(       0.163&lt;0.1,"*","NS")))</f>
        <v>NS</v>
      </c>
    </row>
    <row r="123" spans="1:20" x14ac:dyDescent="0.2">
      <c r="A123" s="296" t="s">
        <v>4710</v>
      </c>
      <c r="B123" s="4" t="s">
        <v>6067</v>
      </c>
      <c r="C123" s="4" t="s">
        <v>6067</v>
      </c>
      <c r="D123" s="4" t="s">
        <v>6067</v>
      </c>
      <c r="E123" s="4" t="s">
        <v>6067</v>
      </c>
      <c r="G123" s="296" t="s">
        <v>4750</v>
      </c>
      <c r="H123" s="4" t="s">
        <v>6067</v>
      </c>
      <c r="I123" s="4" t="s">
        <v>6067</v>
      </c>
      <c r="J123" s="4" t="s">
        <v>6067</v>
      </c>
      <c r="K123" s="4" t="s">
        <v>6067</v>
      </c>
      <c r="L123" s="4" t="s">
        <v>6067</v>
      </c>
      <c r="M123" s="4" t="s">
        <v>6067</v>
      </c>
      <c r="N123" s="4" t="s">
        <v>6067</v>
      </c>
      <c r="P123" s="296" t="s">
        <v>4796</v>
      </c>
      <c r="Q123" s="4" t="s">
        <v>6067</v>
      </c>
      <c r="R123" s="4" t="s">
        <v>6067</v>
      </c>
      <c r="S123" s="4" t="s">
        <v>6067</v>
      </c>
      <c r="T123" s="4" t="s">
        <v>6067</v>
      </c>
    </row>
    <row r="124" spans="1:20" x14ac:dyDescent="0.2">
      <c r="A124" s="296" t="s">
        <v>4711</v>
      </c>
      <c r="B124" s="4">
        <v>3.1728602694063528</v>
      </c>
      <c r="C124" s="4">
        <v>3.371840443516704</v>
      </c>
      <c r="D124" s="4">
        <v>0.19898017411034927</v>
      </c>
      <c r="E124" s="3162" t="str">
        <f>IF(       0.922&lt;0.01,"***",IF(       0.922&lt;0.05,"**",IF(       0.922&lt;0.1,"*","NS")))</f>
        <v>NS</v>
      </c>
      <c r="G124" s="296" t="s">
        <v>4751</v>
      </c>
      <c r="H124" s="4">
        <v>3.1728602694063528</v>
      </c>
      <c r="I124" s="4">
        <v>3.8705321783710809</v>
      </c>
      <c r="J124" s="4">
        <v>0.69767190896472997</v>
      </c>
      <c r="K124" s="3163" t="str">
        <f>IF(       0.786&lt;0.01,"***",IF(       0.786&lt;0.05,"**",IF(       0.786&lt;0.1,"*","NS")))</f>
        <v>NS</v>
      </c>
      <c r="L124" s="4">
        <v>2.0591058199327872</v>
      </c>
      <c r="M124" s="4">
        <v>-1.1137544494735689</v>
      </c>
      <c r="N124" s="3164" t="str">
        <f>IF(       0.469&lt;0.01,"***",IF(       0.469&lt;0.05,"**",IF(       0.469&lt;0.1,"*","NS")))</f>
        <v>NS</v>
      </c>
      <c r="P124" s="296" t="s">
        <v>4797</v>
      </c>
      <c r="Q124" s="4">
        <v>3.461825108282079</v>
      </c>
      <c r="R124" s="4">
        <v>2.0591058199327872</v>
      </c>
      <c r="S124" s="4">
        <v>-1.4027192883492934</v>
      </c>
      <c r="T124" s="3165" t="str">
        <f>IF(       0.388&lt;0.01,"***",IF(       0.388&lt;0.05,"**",IF(       0.388&lt;0.1,"*","NS")))</f>
        <v>NS</v>
      </c>
    </row>
    <row r="125" spans="1:20" x14ac:dyDescent="0.2">
      <c r="A125" s="296" t="s">
        <v>4712</v>
      </c>
      <c r="B125" s="4">
        <v>35.081864163789028</v>
      </c>
      <c r="C125" s="4">
        <v>17.79511590347866</v>
      </c>
      <c r="D125" s="4">
        <v>-17.286748260310471</v>
      </c>
      <c r="E125" s="3166" t="str">
        <f>IF(       0.012&lt;0.01,"***",IF(       0.012&lt;0.05,"**",IF(       0.012&lt;0.1,"*","NS")))</f>
        <v>**</v>
      </c>
      <c r="G125" s="296" t="s">
        <v>4752</v>
      </c>
      <c r="H125" s="4">
        <v>35.081864163789028</v>
      </c>
      <c r="I125" s="4">
        <v>18.658153096972089</v>
      </c>
      <c r="J125" s="4">
        <v>-16.423711066816931</v>
      </c>
      <c r="K125" s="3167" t="str">
        <f>IF(       0.014&lt;0.01,"***",IF(       0.014&lt;0.05,"**",IF(       0.014&lt;0.1,"*","NS")))</f>
        <v>**</v>
      </c>
      <c r="L125" s="4">
        <v>16.862006117128018</v>
      </c>
      <c r="M125" s="4">
        <v>-18.219858046661066</v>
      </c>
      <c r="N125" s="3168" t="str">
        <f>IF(       0.016&lt;0.01,"***",IF(       0.016&lt;0.05,"**",IF(       0.016&lt;0.1,"*","NS")))</f>
        <v>**</v>
      </c>
      <c r="P125" s="296" t="s">
        <v>4798</v>
      </c>
      <c r="Q125" s="4">
        <v>24.122725971853949</v>
      </c>
      <c r="R125" s="4">
        <v>16.862006117128018</v>
      </c>
      <c r="S125" s="4">
        <v>-7.2607198547259273</v>
      </c>
      <c r="T125" s="3169" t="str">
        <f>IF(       0.108&lt;0.01,"***",IF(       0.108&lt;0.05,"**",IF(       0.108&lt;0.1,"*","NS")))</f>
        <v>NS</v>
      </c>
    </row>
    <row r="126" spans="1:20" x14ac:dyDescent="0.2">
      <c r="A126" s="296" t="s">
        <v>4713</v>
      </c>
      <c r="B126" s="4">
        <v>10.73682438801562</v>
      </c>
      <c r="C126" s="4">
        <v>3.011994212307167</v>
      </c>
      <c r="D126" s="4">
        <v>-7.7248301757084397</v>
      </c>
      <c r="E126" s="3170" t="str">
        <f>IF(       0.009&lt;0.01,"***",IF(       0.009&lt;0.05,"**",IF(       0.009&lt;0.1,"*","NS")))</f>
        <v>***</v>
      </c>
      <c r="G126" s="296" t="s">
        <v>4753</v>
      </c>
      <c r="H126" s="4">
        <v>10.73682438801562</v>
      </c>
      <c r="I126" s="4">
        <v>3.5997551873051852</v>
      </c>
      <c r="J126" s="4">
        <v>-7.1370692007104442</v>
      </c>
      <c r="K126" s="3171" t="str">
        <f>IF(       0.014&lt;0.01,"***",IF(       0.014&lt;0.05,"**",IF(       0.014&lt;0.1,"*","NS")))</f>
        <v>**</v>
      </c>
      <c r="L126" s="4">
        <v>2.0104397419723932</v>
      </c>
      <c r="M126" s="4">
        <v>-8.7263846460432326</v>
      </c>
      <c r="N126" s="3172" t="str">
        <f>IF(       0.005&lt;0.01,"***",IF(       0.005&lt;0.05,"**",IF(       0.005&lt;0.1,"*","NS")))</f>
        <v>***</v>
      </c>
      <c r="P126" s="296" t="s">
        <v>4799</v>
      </c>
      <c r="Q126" s="4">
        <v>5.9916313355984094</v>
      </c>
      <c r="R126" s="4">
        <v>2.0104397419723932</v>
      </c>
      <c r="S126" s="4">
        <v>-3.9811915936260154</v>
      </c>
      <c r="T126" s="3173" t="str">
        <f>IF(       0.005&lt;0.01,"***",IF(       0.005&lt;0.05,"**",IF(       0.005&lt;0.1,"*","NS")))</f>
        <v>***</v>
      </c>
    </row>
    <row r="127" spans="1:20" x14ac:dyDescent="0.2">
      <c r="A127" s="296" t="s">
        <v>4714</v>
      </c>
      <c r="B127" s="4">
        <v>41.267018880163668</v>
      </c>
      <c r="C127" s="4">
        <v>28.232173439583381</v>
      </c>
      <c r="D127" s="4">
        <v>-13.034845440580259</v>
      </c>
      <c r="E127" s="3174" t="str">
        <f>IF(       0.018&lt;0.01,"***",IF(       0.018&lt;0.05,"**",IF(       0.018&lt;0.1,"*","NS")))</f>
        <v>**</v>
      </c>
      <c r="G127" s="296" t="s">
        <v>4754</v>
      </c>
      <c r="H127" s="4">
        <v>41.267018880163668</v>
      </c>
      <c r="I127" s="4">
        <v>26.36188010477046</v>
      </c>
      <c r="J127" s="4">
        <v>-14.90513877539321</v>
      </c>
      <c r="K127" s="3175" t="str">
        <f>IF(       0.013&lt;0.01,"***",IF(       0.013&lt;0.05,"**",IF(       0.013&lt;0.1,"*","NS")))</f>
        <v>**</v>
      </c>
      <c r="L127" s="4">
        <v>31.98516938911736</v>
      </c>
      <c r="M127" s="4">
        <v>-9.2818494910463301</v>
      </c>
      <c r="N127" s="3176" t="str">
        <f>IF(       0.152&lt;0.01,"***",IF(       0.152&lt;0.05,"**",IF(       0.152&lt;0.1,"*","NS")))</f>
        <v>NS</v>
      </c>
      <c r="P127" s="296" t="s">
        <v>4800</v>
      </c>
      <c r="Q127" s="4">
        <v>32.636552133993753</v>
      </c>
      <c r="R127" s="4">
        <v>31.98516938911736</v>
      </c>
      <c r="S127" s="4">
        <v>-0.65138274487639425</v>
      </c>
      <c r="T127" s="3177" t="str">
        <f>IF(       0.904&lt;0.01,"***",IF(       0.904&lt;0.05,"**",IF(       0.904&lt;0.1,"*","NS")))</f>
        <v>NS</v>
      </c>
    </row>
    <row r="128" spans="1:20" x14ac:dyDescent="0.2">
      <c r="A128" s="296" t="s">
        <v>4715</v>
      </c>
      <c r="B128" s="4">
        <v>54.452771685158119</v>
      </c>
      <c r="C128" s="4">
        <v>37.474009685620537</v>
      </c>
      <c r="D128" s="4">
        <v>-16.978761999537571</v>
      </c>
      <c r="E128" s="3178" t="str">
        <f>IF(       0.001&lt;0.01,"***",IF(       0.001&lt;0.05,"**",IF(       0.001&lt;0.1,"*","NS")))</f>
        <v>***</v>
      </c>
      <c r="G128" s="296" t="s">
        <v>4755</v>
      </c>
      <c r="H128" s="4">
        <v>54.452771685158119</v>
      </c>
      <c r="I128" s="4">
        <v>40.461720271157823</v>
      </c>
      <c r="J128" s="4">
        <v>-13.991051414000303</v>
      </c>
      <c r="K128" s="3179" t="str">
        <f>IF(       0.013&lt;0.01,"***",IF(       0.013&lt;0.05,"**",IF(       0.013&lt;0.1,"*","NS")))</f>
        <v>**</v>
      </c>
      <c r="L128" s="4">
        <v>31.98268579570184</v>
      </c>
      <c r="M128" s="4">
        <v>-22.47008588945631</v>
      </c>
      <c r="N128" s="3180" t="str">
        <f>IF(       0&lt;0.01,"***",IF(       0&lt;0.05,"**",IF(       0&lt;0.1,"*","NS")))</f>
        <v>***</v>
      </c>
      <c r="P128" s="296" t="s">
        <v>4801</v>
      </c>
      <c r="Q128" s="4">
        <v>46.594409845588558</v>
      </c>
      <c r="R128" s="4">
        <v>31.98268579570184</v>
      </c>
      <c r="S128" s="4">
        <v>-14.611724049886721</v>
      </c>
      <c r="T128" s="3181" t="str">
        <f>IF(       0.002&lt;0.01,"***",IF(       0.002&lt;0.05,"**",IF(       0.002&lt;0.1,"*","NS")))</f>
        <v>***</v>
      </c>
    </row>
    <row r="129" spans="1:20" x14ac:dyDescent="0.2">
      <c r="A129" s="296" t="s">
        <v>4716</v>
      </c>
      <c r="B129" s="4">
        <v>9.896430778136315</v>
      </c>
      <c r="C129" s="4">
        <v>6.673801766635119</v>
      </c>
      <c r="D129" s="4">
        <v>-3.2226290115011942</v>
      </c>
      <c r="E129" s="3182" t="str">
        <f>IF(       0.256&lt;0.01,"***",IF(       0.256&lt;0.05,"**",IF(       0.256&lt;0.1,"*","NS")))</f>
        <v>NS</v>
      </c>
      <c r="G129" s="296" t="s">
        <v>4756</v>
      </c>
      <c r="H129" s="4">
        <v>9.896430778136315</v>
      </c>
      <c r="I129" s="4">
        <v>8.0732932043235444</v>
      </c>
      <c r="J129" s="4">
        <v>-1.8231375738127651</v>
      </c>
      <c r="K129" s="3183" t="str">
        <f>IF(       0.516&lt;0.01,"***",IF(       0.516&lt;0.05,"**",IF(       0.516&lt;0.1,"*","NS")))</f>
        <v>NS</v>
      </c>
      <c r="L129" s="4">
        <v>3.0882219701331541</v>
      </c>
      <c r="M129" s="4">
        <v>-6.8082088080031662</v>
      </c>
      <c r="N129" s="3184" t="str">
        <f>IF(       0.039&lt;0.01,"***",IF(       0.039&lt;0.05,"**",IF(       0.039&lt;0.1,"*","NS")))</f>
        <v>**</v>
      </c>
      <c r="P129" s="296" t="s">
        <v>4802</v>
      </c>
      <c r="Q129" s="4">
        <v>8.9331542930243319</v>
      </c>
      <c r="R129" s="4">
        <v>3.0882219701331541</v>
      </c>
      <c r="S129" s="4">
        <v>-5.8449323228911778</v>
      </c>
      <c r="T129" s="3185" t="str">
        <f>IF(       0.008&lt;0.01,"***",IF(       0.008&lt;0.05,"**",IF(       0.008&lt;0.1,"*","NS")))</f>
        <v>***</v>
      </c>
    </row>
    <row r="130" spans="1:20" x14ac:dyDescent="0.2">
      <c r="A130" s="296" t="s">
        <v>4717</v>
      </c>
      <c r="B130" s="4">
        <v>28.62748217346822</v>
      </c>
      <c r="C130" s="4">
        <v>17.14620519297554</v>
      </c>
      <c r="D130" s="4">
        <v>-11.481276980492717</v>
      </c>
      <c r="E130" s="3186" t="str">
        <f>IF(       0.02&lt;0.01,"***",IF(       0.02&lt;0.05,"**",IF(       0.02&lt;0.1,"*","NS")))</f>
        <v>**</v>
      </c>
      <c r="G130" s="296" t="s">
        <v>4757</v>
      </c>
      <c r="H130" s="4">
        <v>28.62748217346822</v>
      </c>
      <c r="I130" s="4">
        <v>18.075981781201911</v>
      </c>
      <c r="J130" s="4">
        <v>-10.5515003922663</v>
      </c>
      <c r="K130" s="3187" t="str">
        <f>IF(       0.039&lt;0.01,"***",IF(       0.039&lt;0.05,"**",IF(       0.039&lt;0.1,"*","NS")))</f>
        <v>**</v>
      </c>
      <c r="L130" s="4">
        <v>16.01701973785752</v>
      </c>
      <c r="M130" s="4">
        <v>-12.610462435610726</v>
      </c>
      <c r="N130" s="3188" t="str">
        <f>IF(       0.014&lt;0.01,"***",IF(       0.014&lt;0.05,"**",IF(       0.014&lt;0.1,"*","NS")))</f>
        <v>**</v>
      </c>
      <c r="P130" s="296" t="s">
        <v>4803</v>
      </c>
      <c r="Q130" s="4">
        <v>21.884091744221539</v>
      </c>
      <c r="R130" s="4">
        <v>16.01701973785752</v>
      </c>
      <c r="S130" s="4">
        <v>-5.8670720063640189</v>
      </c>
      <c r="T130" s="3189" t="str">
        <f>IF(       0.052&lt;0.01,"***",IF(       0.052&lt;0.05,"**",IF(       0.052&lt;0.1,"*","NS")))</f>
        <v>*</v>
      </c>
    </row>
    <row r="131" spans="1:20" x14ac:dyDescent="0.2">
      <c r="A131" s="296" t="s">
        <v>4718</v>
      </c>
      <c r="B131" s="4">
        <v>8.5234529522722315</v>
      </c>
      <c r="C131" s="4">
        <v>4.5749948525790431</v>
      </c>
      <c r="D131" s="4">
        <v>-3.9484580996932013</v>
      </c>
      <c r="E131" s="3190" t="str">
        <f>IF(       0.142&lt;0.01,"***",IF(       0.142&lt;0.05,"**",IF(       0.142&lt;0.1,"*","NS")))</f>
        <v>NS</v>
      </c>
      <c r="G131" s="296" t="s">
        <v>4758</v>
      </c>
      <c r="H131" s="4">
        <v>8.5234529522722315</v>
      </c>
      <c r="I131" s="4">
        <v>5.2242901797768422</v>
      </c>
      <c r="J131" s="4">
        <v>-3.299162772495384</v>
      </c>
      <c r="K131" s="3191" t="str">
        <f>IF(       0.249&lt;0.01,"***",IF(       0.249&lt;0.05,"**",IF(       0.249&lt;0.1,"*","NS")))</f>
        <v>NS</v>
      </c>
      <c r="L131" s="4">
        <v>3.2852442769149222</v>
      </c>
      <c r="M131" s="4">
        <v>-5.2382086753573009</v>
      </c>
      <c r="N131" s="3192" t="str">
        <f>IF(       0.063&lt;0.01,"***",IF(       0.063&lt;0.05,"**",IF(       0.063&lt;0.1,"*","NS")))</f>
        <v>*</v>
      </c>
      <c r="P131" s="296" t="s">
        <v>4804</v>
      </c>
      <c r="Q131" s="4">
        <v>6.76816497234325</v>
      </c>
      <c r="R131" s="4">
        <v>3.2852442769149222</v>
      </c>
      <c r="S131" s="4">
        <v>-3.4829206954283118</v>
      </c>
      <c r="T131" s="3193" t="str">
        <f>IF(       0.077&lt;0.01,"***",IF(       0.077&lt;0.05,"**",IF(       0.077&lt;0.1,"*","NS")))</f>
        <v>*</v>
      </c>
    </row>
    <row r="132" spans="1:20" x14ac:dyDescent="0.2">
      <c r="A132" s="296" t="s">
        <v>5835</v>
      </c>
      <c r="B132" s="4">
        <v>28.741541959231959</v>
      </c>
      <c r="C132" s="4">
        <v>19.935082853702468</v>
      </c>
      <c r="D132" s="4">
        <v>-8.806459105529699</v>
      </c>
      <c r="E132" s="3194" t="str">
        <f>IF(       0&lt;0.01,"***",IF(       0&lt;0.05,"**",IF(       0&lt;0.1,"*","NS")))</f>
        <v>***</v>
      </c>
      <c r="G132" s="296" t="s">
        <v>5835</v>
      </c>
      <c r="H132" s="4">
        <v>28.741541959231959</v>
      </c>
      <c r="I132" s="4">
        <v>20.957153597719589</v>
      </c>
      <c r="J132" s="4">
        <v>-7.7843883615124314</v>
      </c>
      <c r="K132" s="3195" t="str">
        <f>IF(       0&lt;0.01,"***",IF(       0&lt;0.05,"**",IF(       0&lt;0.1,"*","NS")))</f>
        <v>***</v>
      </c>
      <c r="L132" s="4">
        <v>17.979569014129829</v>
      </c>
      <c r="M132" s="4">
        <v>-10.76197294510213</v>
      </c>
      <c r="N132" s="3196" t="str">
        <f>IF(       0&lt;0.01,"***",IF(       0&lt;0.05,"**",IF(       0&lt;0.1,"*","NS")))</f>
        <v>***</v>
      </c>
      <c r="P132" s="296" t="s">
        <v>5835</v>
      </c>
      <c r="Q132" s="4">
        <v>24.320673217966661</v>
      </c>
      <c r="R132" s="4">
        <v>17.979569014129829</v>
      </c>
      <c r="S132" s="4">
        <v>-6.3411042038367968</v>
      </c>
      <c r="T132" s="3197" t="str">
        <f>IF(       0&lt;0.01,"***",IF(       0&lt;0.05,"**",IF(       0&lt;0.1,"*","NS")))</f>
        <v>***</v>
      </c>
    </row>
  </sheetData>
  <pageMargins left="0.7" right="0.7" top="0.75" bottom="0.75" header="0.3" footer="0.3"/>
  <tableParts count="21">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132"/>
  <sheetViews>
    <sheetView zoomScaleNormal="100" workbookViewId="0">
      <selection activeCell="D14" sqref="D14"/>
    </sheetView>
  </sheetViews>
  <sheetFormatPr baseColWidth="10" defaultColWidth="8.83203125" defaultRowHeight="15" x14ac:dyDescent="0.2"/>
  <cols>
    <col min="1" max="1" width="9.33203125" style="296" customWidth="1"/>
    <col min="2" max="5" width="15.83203125" style="4" customWidth="1"/>
    <col min="6" max="6" width="8.83203125" style="4"/>
    <col min="7" max="7" width="15.83203125" style="296" customWidth="1"/>
    <col min="8" max="14" width="15.83203125" style="4" customWidth="1"/>
    <col min="15" max="15" width="8.83203125" style="4"/>
    <col min="16" max="16" width="15.83203125" style="296" customWidth="1"/>
    <col min="17" max="20" width="15.83203125" style="4" customWidth="1"/>
    <col min="21" max="16384" width="8.83203125" style="4"/>
  </cols>
  <sheetData>
    <row r="1" spans="1:20" x14ac:dyDescent="0.2">
      <c r="A1" s="296" t="s">
        <v>2289</v>
      </c>
      <c r="G1" s="296" t="s">
        <v>2392</v>
      </c>
      <c r="P1" s="296" t="s">
        <v>2511</v>
      </c>
    </row>
    <row r="2" spans="1:20" s="3" customFormat="1" x14ac:dyDescent="0.2">
      <c r="A2" s="5748" t="s">
        <v>2290</v>
      </c>
      <c r="B2" s="5749" t="s">
        <v>2291</v>
      </c>
      <c r="C2" s="5750" t="s">
        <v>2292</v>
      </c>
      <c r="D2" s="5751" t="s">
        <v>2293</v>
      </c>
      <c r="E2" s="5752" t="s">
        <v>2294</v>
      </c>
      <c r="G2" s="5753" t="s">
        <v>2393</v>
      </c>
      <c r="H2" s="5754" t="s">
        <v>2394</v>
      </c>
      <c r="I2" s="5755" t="s">
        <v>2395</v>
      </c>
      <c r="J2" s="5756" t="s">
        <v>2396</v>
      </c>
      <c r="K2" s="5757" t="s">
        <v>2397</v>
      </c>
      <c r="L2" s="5758" t="s">
        <v>2496</v>
      </c>
      <c r="M2" s="5759" t="s">
        <v>2497</v>
      </c>
      <c r="N2" s="5760" t="s">
        <v>2498</v>
      </c>
      <c r="P2" s="5761" t="s">
        <v>2512</v>
      </c>
      <c r="Q2" s="5762" t="s">
        <v>2513</v>
      </c>
      <c r="R2" s="5763" t="s">
        <v>2514</v>
      </c>
      <c r="S2" s="5764" t="s">
        <v>2515</v>
      </c>
      <c r="T2" s="5765" t="s">
        <v>2516</v>
      </c>
    </row>
    <row r="3" spans="1:20" x14ac:dyDescent="0.2">
      <c r="A3" s="296" t="s">
        <v>2295</v>
      </c>
      <c r="B3" s="4">
        <v>0</v>
      </c>
      <c r="C3" s="4">
        <v>0.13312727489847359</v>
      </c>
      <c r="D3" s="4">
        <v>0.13312727489847098</v>
      </c>
      <c r="E3" s="2430" t="str">
        <f>IF(       0.32&lt;0.01,"***",IF(       0.32&lt;0.05,"**",IF(       0.32&lt;0.1,"*","NS")))</f>
        <v>NS</v>
      </c>
      <c r="G3" s="296" t="s">
        <v>2398</v>
      </c>
      <c r="H3" s="4">
        <v>0</v>
      </c>
      <c r="I3" s="4">
        <v>0.16725488154436929</v>
      </c>
      <c r="J3" s="4">
        <v>0.16725488154436832</v>
      </c>
      <c r="K3" s="2431" t="str">
        <f>IF(       0.317&lt;0.01,"***",IF(       0.317&lt;0.05,"**",IF(       0.317&lt;0.1,"*","NS")))</f>
        <v>NS</v>
      </c>
      <c r="L3" s="4">
        <v>0</v>
      </c>
      <c r="M3" s="4">
        <v>0</v>
      </c>
      <c r="N3" s="2432"/>
      <c r="P3" s="296" t="s">
        <v>2517</v>
      </c>
      <c r="Q3" s="4">
        <v>5.9884278531171203E-2</v>
      </c>
      <c r="R3" s="4">
        <v>0</v>
      </c>
      <c r="S3" s="4">
        <v>-5.9884278531171085E-2</v>
      </c>
      <c r="T3" s="2433" t="str">
        <f>IF(       0.319&lt;0.01,"***",IF(       0.319&lt;0.05,"**",IF(       0.319&lt;0.1,"*","NS")))</f>
        <v>NS</v>
      </c>
    </row>
    <row r="4" spans="1:20" x14ac:dyDescent="0.2">
      <c r="A4" s="296" t="s">
        <v>2296</v>
      </c>
      <c r="B4" s="4">
        <v>0.59793904187102509</v>
      </c>
      <c r="C4" s="4">
        <v>0.1265499538254877</v>
      </c>
      <c r="D4" s="4">
        <v>-0.47138908804552976</v>
      </c>
      <c r="E4" s="2434" t="str">
        <f>IF(       0.039&lt;0.01,"***",IF(       0.039&lt;0.05,"**",IF(       0.039&lt;0.1,"*","NS")))</f>
        <v>**</v>
      </c>
      <c r="G4" s="296" t="s">
        <v>2399</v>
      </c>
      <c r="H4" s="4">
        <v>0.59793904187102509</v>
      </c>
      <c r="I4" s="4">
        <v>0.1748271196206922</v>
      </c>
      <c r="J4" s="4">
        <v>-0.42311192225033611</v>
      </c>
      <c r="K4" s="2435" t="str">
        <f>IF(       0.076&lt;0.01,"***",IF(       0.076&lt;0.05,"**",IF(       0.076&lt;0.1,"*","NS")))</f>
        <v>*</v>
      </c>
      <c r="L4" s="4">
        <v>0</v>
      </c>
      <c r="M4" s="4">
        <v>-0.59793904187101343</v>
      </c>
      <c r="N4" s="2436" t="str">
        <f>IF(       0.009&lt;0.01,"***",IF(       0.009&lt;0.05,"**",IF(       0.009&lt;0.1,"*","NS")))</f>
        <v>***</v>
      </c>
      <c r="P4" s="296" t="s">
        <v>2518</v>
      </c>
      <c r="Q4" s="4">
        <v>0.47610279269899658</v>
      </c>
      <c r="R4" s="4">
        <v>0</v>
      </c>
      <c r="S4" s="4">
        <v>-0.47610279269899763</v>
      </c>
      <c r="T4" s="2437" t="str">
        <f>IF(       0.006&lt;0.01,"***",IF(       0.006&lt;0.05,"**",IF(       0.006&lt;0.1,"*","NS")))</f>
        <v>***</v>
      </c>
    </row>
    <row r="5" spans="1:20" x14ac:dyDescent="0.2">
      <c r="A5" s="296" t="s">
        <v>2297</v>
      </c>
      <c r="B5" s="4">
        <v>0.33926482113580708</v>
      </c>
      <c r="C5" s="4">
        <v>0</v>
      </c>
      <c r="D5" s="4">
        <v>-0.33926482113580664</v>
      </c>
      <c r="E5" s="2438" t="str">
        <f>IF(       0.102&lt;0.01,"***",IF(       0.102&lt;0.05,"**",IF(       0.102&lt;0.1,"*","NS")))</f>
        <v>NS</v>
      </c>
      <c r="G5" s="296" t="s">
        <v>2400</v>
      </c>
      <c r="H5" s="4">
        <v>0.33926482113580708</v>
      </c>
      <c r="I5" s="4">
        <v>0</v>
      </c>
      <c r="J5" s="4">
        <v>-0.33926482113580791</v>
      </c>
      <c r="K5" s="2439" t="str">
        <f>IF(       0.102&lt;0.01,"***",IF(       0.102&lt;0.05,"**",IF(       0.102&lt;0.1,"*","NS")))</f>
        <v>NS</v>
      </c>
      <c r="L5" s="4">
        <v>0</v>
      </c>
      <c r="M5" s="4">
        <v>-0.33926482113580042</v>
      </c>
      <c r="N5" s="2440" t="str">
        <f>IF(       0.102&lt;0.01,"***",IF(       0.102&lt;0.05,"**",IF(       0.102&lt;0.1,"*","NS")))</f>
        <v>NS</v>
      </c>
      <c r="P5" s="296" t="s">
        <v>2519</v>
      </c>
      <c r="Q5" s="4">
        <v>0.25893082194046518</v>
      </c>
      <c r="R5" s="4">
        <v>0</v>
      </c>
      <c r="S5" s="4">
        <v>-0.2589308219404618</v>
      </c>
      <c r="T5" s="2441" t="str">
        <f>IF(       0.102&lt;0.01,"***",IF(       0.102&lt;0.05,"**",IF(       0.102&lt;0.1,"*","NS")))</f>
        <v>NS</v>
      </c>
    </row>
    <row r="6" spans="1:20" x14ac:dyDescent="0.2">
      <c r="A6" s="296" t="s">
        <v>2298</v>
      </c>
      <c r="B6" s="4">
        <v>9.3789663981326196E-2</v>
      </c>
      <c r="C6" s="4">
        <v>0</v>
      </c>
      <c r="D6" s="4">
        <v>-9.3789663981325544E-2</v>
      </c>
      <c r="E6" s="2442" t="str">
        <f>IF(       0.323&lt;0.01,"***",IF(       0.323&lt;0.05,"**",IF(       0.323&lt;0.1,"*","NS")))</f>
        <v>NS</v>
      </c>
      <c r="G6" s="296" t="s">
        <v>2401</v>
      </c>
      <c r="H6" s="4">
        <v>9.3789663981326196E-2</v>
      </c>
      <c r="I6" s="4">
        <v>0</v>
      </c>
      <c r="J6" s="4">
        <v>-9.3789663981325905E-2</v>
      </c>
      <c r="K6" s="2443" t="str">
        <f>IF(       0.323&lt;0.01,"***",IF(       0.323&lt;0.05,"**",IF(       0.323&lt;0.1,"*","NS")))</f>
        <v>NS</v>
      </c>
      <c r="L6" s="4">
        <v>0</v>
      </c>
      <c r="M6" s="4">
        <v>-9.3789663981326654E-2</v>
      </c>
      <c r="N6" s="2444" t="str">
        <f>IF(       0.323&lt;0.01,"***",IF(       0.323&lt;0.05,"**",IF(       0.323&lt;0.1,"*","NS")))</f>
        <v>NS</v>
      </c>
      <c r="P6" s="296" t="s">
        <v>2520</v>
      </c>
      <c r="Q6" s="4">
        <v>6.6326316251009002E-2</v>
      </c>
      <c r="R6" s="4">
        <v>0</v>
      </c>
      <c r="S6" s="4">
        <v>-6.6326316251009931E-2</v>
      </c>
      <c r="T6" s="2445" t="str">
        <f>IF(       0.324&lt;0.01,"***",IF(       0.324&lt;0.05,"**",IF(       0.324&lt;0.1,"*","NS")))</f>
        <v>NS</v>
      </c>
    </row>
    <row r="7" spans="1:20" x14ac:dyDescent="0.2">
      <c r="A7" s="296" t="s">
        <v>2299</v>
      </c>
      <c r="B7" s="4">
        <v>0.54194505228153134</v>
      </c>
      <c r="C7" s="4">
        <v>9.4440122955629993E-2</v>
      </c>
      <c r="D7" s="4">
        <v>-0.44750492932591668</v>
      </c>
      <c r="E7" s="2446" t="str">
        <f>IF(       0.392&lt;0.01,"***",IF(       0.392&lt;0.05,"**",IF(       0.392&lt;0.1,"*","NS")))</f>
        <v>NS</v>
      </c>
      <c r="G7" s="296" t="s">
        <v>2402</v>
      </c>
      <c r="H7" s="4">
        <v>0.54194505228153134</v>
      </c>
      <c r="I7" s="4">
        <v>0.1143883594487661</v>
      </c>
      <c r="J7" s="4">
        <v>-0.42755669283276554</v>
      </c>
      <c r="K7" s="2447" t="str">
        <f>IF(       0.419&lt;0.01,"***",IF(       0.419&lt;0.05,"**",IF(       0.419&lt;0.1,"*","NS")))</f>
        <v>NS</v>
      </c>
      <c r="L7" s="4">
        <v>0</v>
      </c>
      <c r="M7" s="4">
        <v>-0.54194505228153456</v>
      </c>
      <c r="N7" s="2448" t="str">
        <f>IF(       0.279&lt;0.01,"***",IF(       0.279&lt;0.05,"**",IF(       0.279&lt;0.1,"*","NS")))</f>
        <v>NS</v>
      </c>
      <c r="P7" s="296" t="s">
        <v>2521</v>
      </c>
      <c r="Q7" s="4">
        <v>0.42898974667223738</v>
      </c>
      <c r="R7" s="4">
        <v>0</v>
      </c>
      <c r="S7" s="4">
        <v>-0.42898974667224526</v>
      </c>
      <c r="T7" s="2449" t="str">
        <f>IF(       0.24&lt;0.01,"***",IF(       0.24&lt;0.05,"**",IF(       0.24&lt;0.1,"*","NS")))</f>
        <v>NS</v>
      </c>
    </row>
    <row r="8" spans="1:20" x14ac:dyDescent="0.2">
      <c r="A8" s="296" t="s">
        <v>2300</v>
      </c>
      <c r="B8" s="4">
        <v>0.52361911899787184</v>
      </c>
      <c r="C8" s="4">
        <v>0.1096628555839603</v>
      </c>
      <c r="D8" s="4">
        <v>-0.41395626341391112</v>
      </c>
      <c r="E8" s="2450" t="str">
        <f>IF(       0.185&lt;0.01,"***",IF(       0.185&lt;0.05,"**",IF(       0.185&lt;0.1,"*","NS")))</f>
        <v>NS</v>
      </c>
      <c r="G8" s="296" t="s">
        <v>2403</v>
      </c>
      <c r="H8" s="4">
        <v>0.52361911899787184</v>
      </c>
      <c r="I8" s="4">
        <v>0.134398350091539</v>
      </c>
      <c r="J8" s="4">
        <v>-0.38922076890633228</v>
      </c>
      <c r="K8" s="2451" t="str">
        <f>IF(       0.219&lt;0.01,"***",IF(       0.219&lt;0.05,"**",IF(       0.219&lt;0.1,"*","NS")))</f>
        <v>NS</v>
      </c>
      <c r="L8" s="4">
        <v>3.1976075510436602E-2</v>
      </c>
      <c r="M8" s="4">
        <v>-0.49164304348744275</v>
      </c>
      <c r="N8" s="2452" t="str">
        <f>IF(       0.121&lt;0.01,"***",IF(       0.121&lt;0.05,"**",IF(       0.121&lt;0.1,"*","NS")))</f>
        <v>NS</v>
      </c>
      <c r="P8" s="296" t="s">
        <v>2522</v>
      </c>
      <c r="Q8" s="4">
        <v>0.41461487628872468</v>
      </c>
      <c r="R8" s="4">
        <v>3.1976075510436602E-2</v>
      </c>
      <c r="S8" s="4">
        <v>-0.38263880077828222</v>
      </c>
      <c r="T8" s="2453" t="str">
        <f>IF(       0.107&lt;0.01,"***",IF(       0.107&lt;0.05,"**",IF(       0.107&lt;0.1,"*","NS")))</f>
        <v>NS</v>
      </c>
    </row>
    <row r="9" spans="1:20" x14ac:dyDescent="0.2">
      <c r="A9" s="296" t="s">
        <v>2301</v>
      </c>
      <c r="B9" s="4">
        <v>5.7649228348526202</v>
      </c>
      <c r="C9" s="4">
        <v>5.2348627846283184</v>
      </c>
      <c r="D9" s="4">
        <v>-0.53006005022428848</v>
      </c>
      <c r="E9" s="2454" t="str">
        <f>IF(       0.666&lt;0.01,"***",IF(       0.666&lt;0.05,"**",IF(       0.666&lt;0.1,"*","NS")))</f>
        <v>NS</v>
      </c>
      <c r="G9" s="296" t="s">
        <v>2404</v>
      </c>
      <c r="H9" s="4">
        <v>5.7649228348526202</v>
      </c>
      <c r="I9" s="4">
        <v>5.4831423150591769</v>
      </c>
      <c r="J9" s="4">
        <v>-0.28178051979343716</v>
      </c>
      <c r="K9" s="2455" t="str">
        <f>IF(       0.826&lt;0.01,"***",IF(       0.826&lt;0.05,"**",IF(       0.826&lt;0.1,"*","NS")))</f>
        <v>NS</v>
      </c>
      <c r="L9" s="4">
        <v>4.0847738878598028</v>
      </c>
      <c r="M9" s="4">
        <v>-1.6801489469928463</v>
      </c>
      <c r="N9" s="2456" t="str">
        <f>IF(       0.424&lt;0.01,"***",IF(       0.424&lt;0.05,"**",IF(       0.424&lt;0.1,"*","NS")))</f>
        <v>NS</v>
      </c>
      <c r="P9" s="296" t="s">
        <v>2523</v>
      </c>
      <c r="Q9" s="4">
        <v>5.7231423148286176</v>
      </c>
      <c r="R9" s="4">
        <v>4.0847738878598028</v>
      </c>
      <c r="S9" s="4">
        <v>-1.6383684269688765</v>
      </c>
      <c r="T9" s="2457" t="str">
        <f>IF(       0.424&lt;0.01,"***",IF(       0.424&lt;0.05,"**",IF(       0.424&lt;0.1,"*","NS")))</f>
        <v>NS</v>
      </c>
    </row>
    <row r="10" spans="1:20" x14ac:dyDescent="0.2">
      <c r="A10" s="296" t="s">
        <v>2302</v>
      </c>
      <c r="B10" s="4">
        <v>0</v>
      </c>
      <c r="C10" s="4">
        <v>0</v>
      </c>
      <c r="D10" s="4">
        <v>0</v>
      </c>
      <c r="E10" s="2458"/>
      <c r="G10" s="296" t="s">
        <v>2405</v>
      </c>
      <c r="H10" s="4">
        <v>0</v>
      </c>
      <c r="I10" s="4">
        <v>0</v>
      </c>
      <c r="J10" s="4">
        <v>0</v>
      </c>
      <c r="K10" s="2459"/>
      <c r="L10" s="4">
        <v>0</v>
      </c>
      <c r="M10" s="4">
        <v>0</v>
      </c>
      <c r="N10" s="2460"/>
      <c r="P10" s="296" t="s">
        <v>2524</v>
      </c>
      <c r="Q10" s="4">
        <v>0</v>
      </c>
      <c r="R10" s="4">
        <v>0</v>
      </c>
      <c r="S10" s="4">
        <v>0</v>
      </c>
      <c r="T10" s="2461"/>
    </row>
    <row r="11" spans="1:20" x14ac:dyDescent="0.2">
      <c r="A11" s="296" t="s">
        <v>2303</v>
      </c>
      <c r="B11" s="4">
        <v>0.42838410985971298</v>
      </c>
      <c r="C11" s="4">
        <v>0.20502760532660069</v>
      </c>
      <c r="D11" s="4">
        <v>-0.22335650453311293</v>
      </c>
      <c r="E11" s="2462" t="str">
        <f>IF(       0.132&lt;0.01,"***",IF(       0.132&lt;0.05,"**",IF(       0.132&lt;0.1,"*","NS")))</f>
        <v>NS</v>
      </c>
      <c r="G11" s="296" t="s">
        <v>2406</v>
      </c>
      <c r="H11" s="4">
        <v>0.42838410985971298</v>
      </c>
      <c r="I11" s="4">
        <v>0</v>
      </c>
      <c r="J11" s="4">
        <v>-0.42838410985971526</v>
      </c>
      <c r="K11" s="2463" t="str">
        <f>IF(       0.148&lt;0.01,"***",IF(       0.148&lt;0.05,"**",IF(       0.148&lt;0.1,"*","NS")))</f>
        <v>NS</v>
      </c>
      <c r="L11" s="4">
        <v>0.53239962284388709</v>
      </c>
      <c r="M11" s="4">
        <v>0.10401551298417508</v>
      </c>
      <c r="N11" s="2464" t="str">
        <f>IF(       0.741&lt;0.01,"***",IF(       0.741&lt;0.05,"**",IF(       0.741&lt;0.1,"*","NS")))</f>
        <v>NS</v>
      </c>
      <c r="P11" s="296" t="s">
        <v>2525</v>
      </c>
      <c r="Q11" s="4">
        <v>0.28281288271291782</v>
      </c>
      <c r="R11" s="4">
        <v>0.53239962284388709</v>
      </c>
      <c r="S11" s="4">
        <v>0.24958674013096813</v>
      </c>
      <c r="T11" s="2465" t="str">
        <f>IF(       0.514&lt;0.01,"***",IF(       0.514&lt;0.05,"**",IF(       0.514&lt;0.1,"*","NS")))</f>
        <v>NS</v>
      </c>
    </row>
    <row r="12" spans="1:20" x14ac:dyDescent="0.2">
      <c r="A12" s="296" t="s">
        <v>2304</v>
      </c>
      <c r="B12" s="4">
        <v>0.38617434655865052</v>
      </c>
      <c r="C12" s="4">
        <v>0.2082094821989543</v>
      </c>
      <c r="D12" s="4">
        <v>-0.17796486435969308</v>
      </c>
      <c r="E12" s="2466" t="str">
        <f>IF(       0.297&lt;0.01,"***",IF(       0.297&lt;0.05,"**",IF(       0.297&lt;0.1,"*","NS")))</f>
        <v>NS</v>
      </c>
      <c r="G12" s="296" t="s">
        <v>2407</v>
      </c>
      <c r="H12" s="4">
        <v>0.38617434655865052</v>
      </c>
      <c r="I12" s="4">
        <v>0.27227336537684838</v>
      </c>
      <c r="J12" s="4">
        <v>-0.11390098118180096</v>
      </c>
      <c r="K12" s="2467" t="str">
        <f>IF(       0.498&lt;0.01,"***",IF(       0.498&lt;0.05,"**",IF(       0.498&lt;0.1,"*","NS")))</f>
        <v>NS</v>
      </c>
      <c r="L12" s="4">
        <v>0</v>
      </c>
      <c r="M12" s="4">
        <v>-0.38617434655865618</v>
      </c>
      <c r="N12" s="2468" t="str">
        <f>IF(       0.162&lt;0.01,"***",IF(       0.162&lt;0.05,"**",IF(       0.162&lt;0.1,"*","NS")))</f>
        <v>NS</v>
      </c>
      <c r="P12" s="296" t="s">
        <v>2526</v>
      </c>
      <c r="Q12" s="4">
        <v>0.3422147017013048</v>
      </c>
      <c r="R12" s="4">
        <v>0</v>
      </c>
      <c r="S12" s="4">
        <v>-0.34221470170130863</v>
      </c>
      <c r="T12" s="2469" t="str">
        <f>IF(       0.171&lt;0.01,"***",IF(       0.171&lt;0.05,"**",IF(       0.171&lt;0.1,"*","NS")))</f>
        <v>NS</v>
      </c>
    </row>
    <row r="13" spans="1:20" x14ac:dyDescent="0.2">
      <c r="A13" s="296" t="s">
        <v>2305</v>
      </c>
      <c r="B13" s="4">
        <v>0.52009415870321873</v>
      </c>
      <c r="C13" s="4">
        <v>0.4127587805306851</v>
      </c>
      <c r="D13" s="4">
        <v>-0.10733537817253987</v>
      </c>
      <c r="E13" s="2470" t="str">
        <f>IF(       0.861&lt;0.01,"***",IF(       0.861&lt;0.05,"**",IF(       0.861&lt;0.1,"*","NS")))</f>
        <v>NS</v>
      </c>
      <c r="G13" s="296" t="s">
        <v>2408</v>
      </c>
      <c r="H13" s="4">
        <v>0.52009415870321873</v>
      </c>
      <c r="I13" s="4">
        <v>0.3769830593627243</v>
      </c>
      <c r="J13" s="4">
        <v>-0.14311109934049915</v>
      </c>
      <c r="K13" s="2471" t="str">
        <f>IF(       0.807&lt;0.01,"***",IF(       0.807&lt;0.05,"**",IF(       0.807&lt;0.1,"*","NS")))</f>
        <v>NS</v>
      </c>
      <c r="L13" s="4">
        <v>0.50945304673428826</v>
      </c>
      <c r="M13" s="4">
        <v>-1.0641111968930061E-2</v>
      </c>
      <c r="N13" s="2472" t="str">
        <f>IF(       0.988&lt;0.01,"***",IF(       0.988&lt;0.05,"**",IF(       0.988&lt;0.1,"*","NS")))</f>
        <v>NS</v>
      </c>
      <c r="P13" s="296" t="s">
        <v>2527</v>
      </c>
      <c r="Q13" s="4">
        <v>0.48585088223867062</v>
      </c>
      <c r="R13" s="4">
        <v>0.50945304673428826</v>
      </c>
      <c r="S13" s="4">
        <v>2.3602164495619738E-2</v>
      </c>
      <c r="T13" s="2473" t="str">
        <f>IF(       0.966&lt;0.01,"***",IF(       0.966&lt;0.05,"**",IF(       0.966&lt;0.1,"*","NS")))</f>
        <v>NS</v>
      </c>
    </row>
    <row r="14" spans="1:20" x14ac:dyDescent="0.2">
      <c r="A14" s="296" t="s">
        <v>2306</v>
      </c>
      <c r="B14" s="4">
        <v>3.224947731252676</v>
      </c>
      <c r="C14" s="4">
        <v>1.50147832613809</v>
      </c>
      <c r="D14" s="4">
        <v>-1.7234694051146391</v>
      </c>
      <c r="E14" s="2474" t="str">
        <f>IF(       0.144&lt;0.01,"***",IF(       0.144&lt;0.05,"**",IF(       0.144&lt;0.1,"*","NS")))</f>
        <v>NS</v>
      </c>
      <c r="G14" s="296" t="s">
        <v>2409</v>
      </c>
      <c r="H14" s="4">
        <v>3.224947731252676</v>
      </c>
      <c r="I14" s="4">
        <v>1.8734929089918599</v>
      </c>
      <c r="J14" s="4">
        <v>-1.3514548222607861</v>
      </c>
      <c r="K14" s="2475" t="str">
        <f>IF(       0.238&lt;0.01,"***",IF(       0.238&lt;0.05,"**",IF(       0.238&lt;0.1,"*","NS")))</f>
        <v>NS</v>
      </c>
      <c r="L14" s="4">
        <v>0.40549997389451531</v>
      </c>
      <c r="M14" s="4">
        <v>-2.8194477573582164</v>
      </c>
      <c r="N14" s="2476" t="str">
        <f>IF(       0.044&lt;0.01,"***",IF(       0.044&lt;0.05,"**",IF(       0.044&lt;0.1,"*","NS")))</f>
        <v>**</v>
      </c>
      <c r="P14" s="296" t="s">
        <v>2528</v>
      </c>
      <c r="Q14" s="4">
        <v>2.9316665527707859</v>
      </c>
      <c r="R14" s="4">
        <v>0.40549997389451531</v>
      </c>
      <c r="S14" s="4">
        <v>-2.5261665788762842</v>
      </c>
      <c r="T14" s="2477" t="str">
        <f>IF(       0.034&lt;0.01,"***",IF(       0.034&lt;0.05,"**",IF(       0.034&lt;0.1,"*","NS")))</f>
        <v>**</v>
      </c>
    </row>
    <row r="15" spans="1:20" x14ac:dyDescent="0.2">
      <c r="A15" s="296" t="s">
        <v>2307</v>
      </c>
      <c r="B15" s="4">
        <v>0.22896974929388561</v>
      </c>
      <c r="C15" s="4">
        <v>0.28966878960777048</v>
      </c>
      <c r="D15" s="4">
        <v>6.0699040313888085E-2</v>
      </c>
      <c r="E15" s="2478" t="str">
        <f>IF(       0.82&lt;0.01,"***",IF(       0.82&lt;0.05,"**",IF(       0.82&lt;0.1,"*","NS")))</f>
        <v>NS</v>
      </c>
      <c r="G15" s="296" t="s">
        <v>2410</v>
      </c>
      <c r="H15" s="4">
        <v>0.22896974929388561</v>
      </c>
      <c r="I15" s="4">
        <v>0.38416219206769131</v>
      </c>
      <c r="J15" s="4">
        <v>0.15519244277379632</v>
      </c>
      <c r="K15" s="2479" t="str">
        <f>IF(       0.655&lt;0.01,"***",IF(       0.655&lt;0.05,"**",IF(       0.655&lt;0.1,"*","NS")))</f>
        <v>NS</v>
      </c>
      <c r="L15" s="4">
        <v>0</v>
      </c>
      <c r="M15" s="4">
        <v>-0.2289697492938863</v>
      </c>
      <c r="N15" s="2480" t="str">
        <f>IF(       0.19&lt;0.01,"***",IF(       0.19&lt;0.05,"**",IF(       0.19&lt;0.1,"*","NS")))</f>
        <v>NS</v>
      </c>
      <c r="P15" s="296" t="s">
        <v>2529</v>
      </c>
      <c r="Q15" s="4">
        <v>0.26388632045405752</v>
      </c>
      <c r="R15" s="4">
        <v>0</v>
      </c>
      <c r="S15" s="4">
        <v>-0.26388632045406341</v>
      </c>
      <c r="T15" s="2481" t="str">
        <f>IF(       0.167&lt;0.01,"***",IF(       0.167&lt;0.05,"**",IF(       0.167&lt;0.1,"*","NS")))</f>
        <v>NS</v>
      </c>
    </row>
    <row r="16" spans="1:20" x14ac:dyDescent="0.2">
      <c r="A16" s="296" t="s">
        <v>2308</v>
      </c>
      <c r="B16" s="4">
        <v>1.098826159740111</v>
      </c>
      <c r="C16" s="4">
        <v>0.7830093689459533</v>
      </c>
      <c r="D16" s="4">
        <v>-0.31581679079415281</v>
      </c>
      <c r="E16" s="2482" t="str">
        <f>IF(       0.082&lt;0.01,"***",IF(       0.082&lt;0.05,"**",IF(       0.082&lt;0.1,"*","NS")))</f>
        <v>*</v>
      </c>
      <c r="G16" s="296" t="s">
        <v>2411</v>
      </c>
      <c r="H16" s="4">
        <v>1.098826159740111</v>
      </c>
      <c r="I16" s="4">
        <v>0.48934423798205601</v>
      </c>
      <c r="J16" s="4">
        <v>-0.6094819217580606</v>
      </c>
      <c r="K16" s="2483" t="str">
        <f>IF(       0.083&lt;0.01,"***",IF(       0.083&lt;0.05,"**",IF(       0.083&lt;0.1,"*","NS")))</f>
        <v>*</v>
      </c>
      <c r="L16" s="4">
        <v>1.433061921866025</v>
      </c>
      <c r="M16" s="4">
        <v>0.33423576212591327</v>
      </c>
      <c r="N16" s="2484" t="str">
        <f>IF(       0.423&lt;0.01,"***",IF(       0.423&lt;0.05,"**",IF(       0.423&lt;0.1,"*","NS")))</f>
        <v>NS</v>
      </c>
      <c r="P16" s="296" t="s">
        <v>2530</v>
      </c>
      <c r="Q16" s="4">
        <v>0.89774212405518794</v>
      </c>
      <c r="R16" s="4">
        <v>1.433061921866025</v>
      </c>
      <c r="S16" s="4">
        <v>0.5353197978108345</v>
      </c>
      <c r="T16" s="2485" t="str">
        <f>IF(       0.284&lt;0.01,"***",IF(       0.284&lt;0.05,"**",IF(       0.284&lt;0.1,"*","NS")))</f>
        <v>NS</v>
      </c>
    </row>
    <row r="17" spans="1:20" x14ac:dyDescent="0.2">
      <c r="A17" s="296" t="s">
        <v>2309</v>
      </c>
      <c r="B17" s="4">
        <v>6.0818635200085E-2</v>
      </c>
      <c r="C17" s="4">
        <v>0</v>
      </c>
      <c r="D17" s="4">
        <v>-6.0818635200085229E-2</v>
      </c>
      <c r="E17" s="2486" t="str">
        <f>IF(       0.334&lt;0.01,"***",IF(       0.334&lt;0.05,"**",IF(       0.334&lt;0.1,"*","NS")))</f>
        <v>NS</v>
      </c>
      <c r="G17" s="296" t="s">
        <v>2412</v>
      </c>
      <c r="H17" s="4">
        <v>6.0818635200085E-2</v>
      </c>
      <c r="I17" s="4">
        <v>0</v>
      </c>
      <c r="J17" s="4">
        <v>-6.0818635200084896E-2</v>
      </c>
      <c r="K17" s="2487" t="str">
        <f>IF(       0.334&lt;0.01,"***",IF(       0.334&lt;0.05,"**",IF(       0.334&lt;0.1,"*","NS")))</f>
        <v>NS</v>
      </c>
      <c r="L17" s="4">
        <v>0</v>
      </c>
      <c r="M17" s="4">
        <v>-6.081863520008407E-2</v>
      </c>
      <c r="N17" s="2488" t="str">
        <f>IF(       0.334&lt;0.01,"***",IF(       0.334&lt;0.05,"**",IF(       0.334&lt;0.1,"*","NS")))</f>
        <v>NS</v>
      </c>
      <c r="P17" s="296" t="s">
        <v>2531</v>
      </c>
      <c r="Q17" s="4">
        <v>4.50093639586093E-2</v>
      </c>
      <c r="R17" s="4">
        <v>0</v>
      </c>
      <c r="S17" s="4">
        <v>-4.5009363958608627E-2</v>
      </c>
      <c r="T17" s="2489" t="str">
        <f>IF(       0.333&lt;0.01,"***",IF(       0.333&lt;0.05,"**",IF(       0.333&lt;0.1,"*","NS")))</f>
        <v>NS</v>
      </c>
    </row>
    <row r="18" spans="1:20" x14ac:dyDescent="0.2">
      <c r="A18" s="296" t="s">
        <v>5835</v>
      </c>
      <c r="B18" s="4">
        <v>1.132111242165041</v>
      </c>
      <c r="C18" s="4">
        <v>0.48998638199213268</v>
      </c>
      <c r="D18" s="4">
        <v>-0.6421248601728704</v>
      </c>
      <c r="E18" s="2490" t="str">
        <f>IF(       0.002&lt;0.01,"***",IF(       0.002&lt;0.05,"**",IF(       0.002&lt;0.1,"*","NS")))</f>
        <v>***</v>
      </c>
      <c r="G18" s="296" t="s">
        <v>5835</v>
      </c>
      <c r="H18" s="4">
        <v>1.132111242165041</v>
      </c>
      <c r="I18" s="4">
        <v>0.525157509381315</v>
      </c>
      <c r="J18" s="4">
        <v>-0.60695373278376008</v>
      </c>
      <c r="K18" s="2491" t="str">
        <f>IF(       0.002&lt;0.01,"***",IF(       0.002&lt;0.05,"**",IF(       0.002&lt;0.1,"*","NS")))</f>
        <v>***</v>
      </c>
      <c r="L18" s="4">
        <v>0.38662723544089678</v>
      </c>
      <c r="M18" s="4">
        <v>-0.74548400672408366</v>
      </c>
      <c r="N18" s="2492" t="str">
        <f>IF(       0.003&lt;0.01,"***",IF(       0.003&lt;0.05,"**",IF(       0.003&lt;0.1,"*","NS")))</f>
        <v>***</v>
      </c>
      <c r="P18" s="296" t="s">
        <v>5835</v>
      </c>
      <c r="Q18" s="4">
        <v>0.96998368084014863</v>
      </c>
      <c r="R18" s="4">
        <v>0.38662723544089678</v>
      </c>
      <c r="S18" s="4">
        <v>-0.58335644539922016</v>
      </c>
      <c r="T18" s="2493" t="str">
        <f>IF(       0.004&lt;0.01,"***",IF(       0.004&lt;0.05,"**",IF(       0.004&lt;0.1,"*","NS")))</f>
        <v>***</v>
      </c>
    </row>
    <row r="20" spans="1:20" x14ac:dyDescent="0.2">
      <c r="A20" s="296" t="s">
        <v>2310</v>
      </c>
      <c r="G20" s="296" t="s">
        <v>2413</v>
      </c>
      <c r="P20" s="296" t="s">
        <v>2532</v>
      </c>
    </row>
    <row r="21" spans="1:20" s="3" customFormat="1" x14ac:dyDescent="0.2">
      <c r="A21" s="5766" t="s">
        <v>2311</v>
      </c>
      <c r="B21" s="5767" t="s">
        <v>2312</v>
      </c>
      <c r="C21" s="5768" t="s">
        <v>2313</v>
      </c>
      <c r="D21" s="5769" t="s">
        <v>2314</v>
      </c>
      <c r="E21" s="5770" t="s">
        <v>2315</v>
      </c>
      <c r="G21" s="5771" t="s">
        <v>2414</v>
      </c>
      <c r="H21" s="5772" t="s">
        <v>2415</v>
      </c>
      <c r="I21" s="5773" t="s">
        <v>2416</v>
      </c>
      <c r="J21" s="5774" t="s">
        <v>2417</v>
      </c>
      <c r="K21" s="5775" t="s">
        <v>2418</v>
      </c>
      <c r="L21" s="5776" t="s">
        <v>2499</v>
      </c>
      <c r="M21" s="5777" t="s">
        <v>2500</v>
      </c>
      <c r="N21" s="5778" t="s">
        <v>2501</v>
      </c>
      <c r="P21" s="5779" t="s">
        <v>2533</v>
      </c>
      <c r="Q21" s="5780" t="s">
        <v>2534</v>
      </c>
      <c r="R21" s="5781" t="s">
        <v>2535</v>
      </c>
      <c r="S21" s="5782" t="s">
        <v>2536</v>
      </c>
      <c r="T21" s="5783" t="s">
        <v>2537</v>
      </c>
    </row>
    <row r="22" spans="1:20" x14ac:dyDescent="0.2">
      <c r="A22" s="296" t="s">
        <v>2316</v>
      </c>
      <c r="B22" s="4">
        <v>0</v>
      </c>
      <c r="C22" s="4">
        <v>0</v>
      </c>
      <c r="D22" s="4">
        <v>0</v>
      </c>
      <c r="E22" s="2494"/>
      <c r="G22" s="296" t="s">
        <v>2419</v>
      </c>
      <c r="H22" s="4">
        <v>0</v>
      </c>
      <c r="I22" s="4">
        <v>0</v>
      </c>
      <c r="J22" s="4">
        <v>0</v>
      </c>
      <c r="K22" s="2495"/>
      <c r="L22" s="4">
        <v>0</v>
      </c>
      <c r="M22" s="4">
        <v>0</v>
      </c>
      <c r="N22" s="2496"/>
      <c r="P22" s="296" t="s">
        <v>2538</v>
      </c>
      <c r="Q22" s="4">
        <v>0</v>
      </c>
      <c r="R22" s="4">
        <v>0</v>
      </c>
      <c r="S22" s="4">
        <v>0</v>
      </c>
      <c r="T22" s="2497"/>
    </row>
    <row r="23" spans="1:20" x14ac:dyDescent="0.2">
      <c r="A23" s="296" t="s">
        <v>2317</v>
      </c>
      <c r="B23" s="4">
        <v>0.67824961825116281</v>
      </c>
      <c r="C23" s="4">
        <v>0.1022821532315127</v>
      </c>
      <c r="D23" s="4">
        <v>-0.5759674650196529</v>
      </c>
      <c r="E23" s="2498" t="str">
        <f>IF(       0.035&lt;0.01,"***",IF(       0.035&lt;0.05,"**",IF(       0.035&lt;0.1,"*","NS")))</f>
        <v>**</v>
      </c>
      <c r="G23" s="296" t="s">
        <v>2420</v>
      </c>
      <c r="H23" s="4">
        <v>0.67824961825116281</v>
      </c>
      <c r="I23" s="4">
        <v>0.14201093424131381</v>
      </c>
      <c r="J23" s="4">
        <v>-0.53623868400984298</v>
      </c>
      <c r="K23" s="2499" t="str">
        <f>IF(       0.057&lt;0.01,"***",IF(       0.057&lt;0.05,"**",IF(       0.057&lt;0.1,"*","NS")))</f>
        <v>*</v>
      </c>
      <c r="L23" s="4">
        <v>0</v>
      </c>
      <c r="M23" s="4">
        <v>-0.67824961825116525</v>
      </c>
      <c r="N23" s="2500" t="str">
        <f>IF(       0.016&lt;0.01,"***",IF(       0.016&lt;0.05,"**",IF(       0.016&lt;0.1,"*","NS")))</f>
        <v>**</v>
      </c>
      <c r="P23" s="296" t="s">
        <v>2539</v>
      </c>
      <c r="Q23" s="4">
        <v>0.50018594951326967</v>
      </c>
      <c r="R23" s="4">
        <v>0</v>
      </c>
      <c r="S23" s="4">
        <v>-0.500185949513274</v>
      </c>
      <c r="T23" s="2501" t="str">
        <f>IF(       0.016&lt;0.01,"***",IF(       0.016&lt;0.05,"**",IF(       0.016&lt;0.1,"*","NS")))</f>
        <v>**</v>
      </c>
    </row>
    <row r="24" spans="1:20" x14ac:dyDescent="0.2">
      <c r="A24" s="296" t="s">
        <v>2318</v>
      </c>
      <c r="B24" s="4">
        <v>0.32348156151094087</v>
      </c>
      <c r="C24" s="4">
        <v>0</v>
      </c>
      <c r="D24" s="4">
        <v>-0.3234815615109416</v>
      </c>
      <c r="E24" s="2502" t="str">
        <f>IF(       0.169&lt;0.01,"***",IF(       0.169&lt;0.05,"**",IF(       0.169&lt;0.1,"*","NS")))</f>
        <v>NS</v>
      </c>
      <c r="G24" s="296" t="s">
        <v>2421</v>
      </c>
      <c r="H24" s="4">
        <v>0.32348156151094087</v>
      </c>
      <c r="I24" s="4">
        <v>0</v>
      </c>
      <c r="J24" s="4">
        <v>-0.32348156151094265</v>
      </c>
      <c r="K24" s="2503" t="str">
        <f>IF(       0.169&lt;0.01,"***",IF(       0.169&lt;0.05,"**",IF(       0.169&lt;0.1,"*","NS")))</f>
        <v>NS</v>
      </c>
      <c r="L24" s="4">
        <v>0</v>
      </c>
      <c r="M24" s="4">
        <v>-0.32348156151094321</v>
      </c>
      <c r="N24" s="2504" t="str">
        <f>IF(       0.169&lt;0.01,"***",IF(       0.169&lt;0.05,"**",IF(       0.169&lt;0.1,"*","NS")))</f>
        <v>NS</v>
      </c>
      <c r="P24" s="296" t="s">
        <v>2540</v>
      </c>
      <c r="Q24" s="4">
        <v>0.24702600649854681</v>
      </c>
      <c r="R24" s="4">
        <v>0</v>
      </c>
      <c r="S24" s="4">
        <v>-0.24702600649854523</v>
      </c>
      <c r="T24" s="2505" t="str">
        <f>IF(       0.167&lt;0.01,"***",IF(       0.167&lt;0.05,"**",IF(       0.167&lt;0.1,"*","NS")))</f>
        <v>NS</v>
      </c>
    </row>
    <row r="25" spans="1:20" x14ac:dyDescent="0.2">
      <c r="A25" s="296" t="s">
        <v>2319</v>
      </c>
      <c r="B25" s="4">
        <v>9.06408821971426E-2</v>
      </c>
      <c r="C25" s="4">
        <v>0</v>
      </c>
      <c r="D25" s="4">
        <v>-9.0640882197142197E-2</v>
      </c>
      <c r="E25" s="2506" t="str">
        <f>IF(       0.322&lt;0.01,"***",IF(       0.322&lt;0.05,"**",IF(       0.322&lt;0.1,"*","NS")))</f>
        <v>NS</v>
      </c>
      <c r="G25" s="296" t="s">
        <v>2422</v>
      </c>
      <c r="H25" s="4">
        <v>9.06408821971426E-2</v>
      </c>
      <c r="I25" s="4">
        <v>0</v>
      </c>
      <c r="J25" s="4">
        <v>-9.0640882197141823E-2</v>
      </c>
      <c r="K25" s="2507" t="str">
        <f>IF(       0.322&lt;0.01,"***",IF(       0.322&lt;0.05,"**",IF(       0.322&lt;0.1,"*","NS")))</f>
        <v>NS</v>
      </c>
      <c r="L25" s="4">
        <v>0</v>
      </c>
      <c r="M25" s="4">
        <v>-9.0640882197142725E-2</v>
      </c>
      <c r="N25" s="2508" t="str">
        <f>IF(       0.322&lt;0.01,"***",IF(       0.322&lt;0.05,"**",IF(       0.322&lt;0.1,"*","NS")))</f>
        <v>NS</v>
      </c>
      <c r="P25" s="296" t="s">
        <v>2541</v>
      </c>
      <c r="Q25" s="4">
        <v>6.3022187720926506E-2</v>
      </c>
      <c r="R25" s="4">
        <v>0</v>
      </c>
      <c r="S25" s="4">
        <v>-6.3022187720926687E-2</v>
      </c>
      <c r="T25" s="2509" t="str">
        <f>IF(       0.323&lt;0.01,"***",IF(       0.323&lt;0.05,"**",IF(       0.323&lt;0.1,"*","NS")))</f>
        <v>NS</v>
      </c>
    </row>
    <row r="26" spans="1:20" x14ac:dyDescent="0.2">
      <c r="A26" s="296" t="s">
        <v>2320</v>
      </c>
      <c r="B26" s="4">
        <v>0.2165573927474925</v>
      </c>
      <c r="C26" s="4">
        <v>0</v>
      </c>
      <c r="D26" s="4">
        <v>-0.21655739274749219</v>
      </c>
      <c r="E26" s="2510" t="str">
        <f>IF(       0.325&lt;0.01,"***",IF(       0.325&lt;0.05,"**",IF(       0.325&lt;0.1,"*","NS")))</f>
        <v>NS</v>
      </c>
      <c r="G26" s="296" t="s">
        <v>2423</v>
      </c>
      <c r="H26" s="4">
        <v>0.2165573927474925</v>
      </c>
      <c r="I26" s="4">
        <v>0</v>
      </c>
      <c r="J26" s="4">
        <v>-0.21655739274749497</v>
      </c>
      <c r="K26" s="2511" t="str">
        <f>IF(       0.325&lt;0.01,"***",IF(       0.325&lt;0.05,"**",IF(       0.325&lt;0.1,"*","NS")))</f>
        <v>NS</v>
      </c>
      <c r="L26" s="4">
        <v>0</v>
      </c>
      <c r="M26" s="4">
        <v>-0.21655739274749358</v>
      </c>
      <c r="N26" s="2512" t="str">
        <f>IF(       0.325&lt;0.01,"***",IF(       0.325&lt;0.05,"**",IF(       0.325&lt;0.1,"*","NS")))</f>
        <v>NS</v>
      </c>
      <c r="P26" s="296" t="s">
        <v>2542</v>
      </c>
      <c r="Q26" s="4">
        <v>0.1586251491774455</v>
      </c>
      <c r="R26" s="4">
        <v>0</v>
      </c>
      <c r="S26" s="4">
        <v>-0.15862514917744486</v>
      </c>
      <c r="T26" s="2513" t="str">
        <f>IF(       0.324&lt;0.01,"***",IF(       0.324&lt;0.05,"**",IF(       0.324&lt;0.1,"*","NS")))</f>
        <v>NS</v>
      </c>
    </row>
    <row r="27" spans="1:20" x14ac:dyDescent="0.2">
      <c r="A27" s="296" t="s">
        <v>2321</v>
      </c>
      <c r="B27" s="4">
        <v>0.46925464326325778</v>
      </c>
      <c r="C27" s="4">
        <v>0.17785477041284931</v>
      </c>
      <c r="D27" s="4">
        <v>-0.29139987285040897</v>
      </c>
      <c r="E27" s="2514" t="str">
        <f>IF(       0.447&lt;0.01,"***",IF(       0.447&lt;0.05,"**",IF(       0.447&lt;0.1,"*","NS")))</f>
        <v>NS</v>
      </c>
      <c r="G27" s="296" t="s">
        <v>2424</v>
      </c>
      <c r="H27" s="4">
        <v>0.46925464326325778</v>
      </c>
      <c r="I27" s="4">
        <v>0.23913622728479769</v>
      </c>
      <c r="J27" s="4">
        <v>-0.23011841597846019</v>
      </c>
      <c r="K27" s="2515" t="str">
        <f>IF(       0.572&lt;0.01,"***",IF(       0.572&lt;0.05,"**",IF(       0.572&lt;0.1,"*","NS")))</f>
        <v>NS</v>
      </c>
      <c r="L27" s="4">
        <v>0</v>
      </c>
      <c r="M27" s="4">
        <v>-0.46925464326325983</v>
      </c>
      <c r="N27" s="2516" t="str">
        <f>IF(       0.189&lt;0.01,"***",IF(       0.189&lt;0.05,"**",IF(       0.189&lt;0.1,"*","NS")))</f>
        <v>NS</v>
      </c>
      <c r="P27" s="296" t="s">
        <v>2543</v>
      </c>
      <c r="Q27" s="4">
        <v>0.40252376906522219</v>
      </c>
      <c r="R27" s="4">
        <v>0</v>
      </c>
      <c r="S27" s="4">
        <v>-0.40252376906522441</v>
      </c>
      <c r="T27" s="2517" t="str">
        <f>IF(       0.129&lt;0.01,"***",IF(       0.129&lt;0.05,"**",IF(       0.129&lt;0.1,"*","NS")))</f>
        <v>NS</v>
      </c>
    </row>
    <row r="28" spans="1:20" x14ac:dyDescent="0.2">
      <c r="A28" s="296" t="s">
        <v>2322</v>
      </c>
      <c r="B28" s="4">
        <v>5.3186337856318504</v>
      </c>
      <c r="C28" s="4">
        <v>4.2124490581134939</v>
      </c>
      <c r="D28" s="4">
        <v>-1.1061847275183683</v>
      </c>
      <c r="E28" s="2518" t="str">
        <f>IF(       0.409&lt;0.01,"***",IF(       0.409&lt;0.05,"**",IF(       0.409&lt;0.1,"*","NS")))</f>
        <v>NS</v>
      </c>
      <c r="G28" s="296" t="s">
        <v>2425</v>
      </c>
      <c r="H28" s="4">
        <v>5.3186337856318504</v>
      </c>
      <c r="I28" s="4">
        <v>5.1955916540650522</v>
      </c>
      <c r="J28" s="4">
        <v>-0.12304213156679752</v>
      </c>
      <c r="K28" s="2519" t="str">
        <f>IF(       0.937&lt;0.01,"***",IF(       0.937&lt;0.05,"**",IF(       0.937&lt;0.1,"*","NS")))</f>
        <v>NS</v>
      </c>
      <c r="L28" s="4">
        <v>0</v>
      </c>
      <c r="M28" s="4">
        <v>-5.31863378563183</v>
      </c>
      <c r="N28" s="2520" t="str">
        <f>IF(       0&lt;0.01,"***",IF(       0&lt;0.05,"**",IF(       0&lt;0.1,"*","NS")))</f>
        <v>***</v>
      </c>
      <c r="P28" s="296" t="s">
        <v>2544</v>
      </c>
      <c r="Q28" s="4">
        <v>5.2992293926003624</v>
      </c>
      <c r="R28" s="4">
        <v>0</v>
      </c>
      <c r="S28" s="4">
        <v>-5.2992293926004468</v>
      </c>
      <c r="T28" s="2521" t="str">
        <f>IF(       0&lt;0.01,"***",IF(       0&lt;0.05,"**",IF(       0&lt;0.1,"*","NS")))</f>
        <v>***</v>
      </c>
    </row>
    <row r="29" spans="1:20" x14ac:dyDescent="0.2">
      <c r="A29" s="296" t="s">
        <v>2323</v>
      </c>
      <c r="B29" s="4">
        <v>0</v>
      </c>
      <c r="C29" s="4">
        <v>0</v>
      </c>
      <c r="D29" s="4">
        <v>0</v>
      </c>
      <c r="E29" s="2522"/>
      <c r="G29" s="296" t="s">
        <v>2426</v>
      </c>
      <c r="H29" s="4">
        <v>0</v>
      </c>
      <c r="I29" s="4">
        <v>0</v>
      </c>
      <c r="J29" s="4">
        <v>0</v>
      </c>
      <c r="K29" s="2523"/>
      <c r="L29" s="4">
        <v>0</v>
      </c>
      <c r="M29" s="4">
        <v>0</v>
      </c>
      <c r="N29" s="2524"/>
      <c r="P29" s="296" t="s">
        <v>2545</v>
      </c>
      <c r="Q29" s="4">
        <v>0</v>
      </c>
      <c r="R29" s="4">
        <v>0</v>
      </c>
      <c r="S29" s="4">
        <v>0</v>
      </c>
      <c r="T29" s="2525"/>
    </row>
    <row r="30" spans="1:20" x14ac:dyDescent="0.2">
      <c r="A30" s="296" t="s">
        <v>2324</v>
      </c>
      <c r="B30" s="4">
        <v>0.21995044637165859</v>
      </c>
      <c r="C30" s="4">
        <v>0.16757067917107529</v>
      </c>
      <c r="D30" s="4">
        <v>-5.2379767200582662E-2</v>
      </c>
      <c r="E30" s="2526" t="str">
        <f>IF(       0.314&lt;0.01,"***",IF(       0.314&lt;0.05,"**",IF(       0.314&lt;0.1,"*","NS")))</f>
        <v>NS</v>
      </c>
      <c r="G30" s="296" t="s">
        <v>2427</v>
      </c>
      <c r="H30" s="4">
        <v>0.21995044637165859</v>
      </c>
      <c r="I30" s="4">
        <v>0</v>
      </c>
      <c r="J30" s="4">
        <v>-0.2199504463716572</v>
      </c>
      <c r="K30" s="2527" t="str">
        <f>IF(       0.22&lt;0.01,"***",IF(       0.22&lt;0.05,"**",IF(       0.22&lt;0.1,"*","NS")))</f>
        <v>NS</v>
      </c>
      <c r="L30" s="4">
        <v>0.41798089356712148</v>
      </c>
      <c r="M30" s="4">
        <v>0.19803044719546414</v>
      </c>
      <c r="N30" s="2528" t="str">
        <f>IF(       0.442&lt;0.01,"***",IF(       0.442&lt;0.05,"**",IF(       0.442&lt;0.1,"*","NS")))</f>
        <v>NS</v>
      </c>
      <c r="P30" s="296" t="s">
        <v>2546</v>
      </c>
      <c r="Q30" s="4">
        <v>0.13681738142751301</v>
      </c>
      <c r="R30" s="4">
        <v>0.41798089356712148</v>
      </c>
      <c r="S30" s="4">
        <v>0.28116351213961011</v>
      </c>
      <c r="T30" s="2529" t="str">
        <f>IF(       0.378&lt;0.01,"***",IF(       0.378&lt;0.05,"**",IF(       0.378&lt;0.1,"*","NS")))</f>
        <v>NS</v>
      </c>
    </row>
    <row r="31" spans="1:20" x14ac:dyDescent="0.2">
      <c r="A31" s="296" t="s">
        <v>2325</v>
      </c>
      <c r="B31" s="4">
        <v>0.37298062708579099</v>
      </c>
      <c r="C31" s="4">
        <v>0.3909969657441128</v>
      </c>
      <c r="D31" s="4">
        <v>1.8016338658322976E-2</v>
      </c>
      <c r="E31" s="2530" t="str">
        <f>IF(       0.952&lt;0.01,"***",IF(       0.952&lt;0.05,"**",IF(       0.952&lt;0.1,"*","NS")))</f>
        <v>NS</v>
      </c>
      <c r="G31" s="296" t="s">
        <v>2428</v>
      </c>
      <c r="H31" s="4">
        <v>0.37298062708579099</v>
      </c>
      <c r="I31" s="4">
        <v>0.51067929554750979</v>
      </c>
      <c r="J31" s="4">
        <v>0.13769866846171641</v>
      </c>
      <c r="K31" s="2531" t="str">
        <f>IF(       0.713&lt;0.01,"***",IF(       0.713&lt;0.05,"**",IF(       0.713&lt;0.1,"*","NS")))</f>
        <v>NS</v>
      </c>
      <c r="L31" s="4">
        <v>0</v>
      </c>
      <c r="M31" s="4">
        <v>-0.37298062708578905</v>
      </c>
      <c r="N31" s="2532" t="str">
        <f>IF(       0.168&lt;0.01,"***",IF(       0.168&lt;0.05,"**",IF(       0.168&lt;0.1,"*","NS")))</f>
        <v>NS</v>
      </c>
      <c r="P31" s="296" t="s">
        <v>2547</v>
      </c>
      <c r="Q31" s="4">
        <v>0.42894032128186582</v>
      </c>
      <c r="R31" s="4">
        <v>0</v>
      </c>
      <c r="S31" s="4">
        <v>-0.42894032128186654</v>
      </c>
      <c r="T31" s="2533" t="str">
        <f>IF(       0.155&lt;0.01,"***",IF(       0.155&lt;0.05,"**",IF(       0.155&lt;0.1,"*","NS")))</f>
        <v>NS</v>
      </c>
    </row>
    <row r="32" spans="1:20" x14ac:dyDescent="0.2">
      <c r="A32" s="296" t="s">
        <v>2326</v>
      </c>
      <c r="B32" s="4">
        <v>0.53237731713245851</v>
      </c>
      <c r="C32" s="4">
        <v>0.24741482042813959</v>
      </c>
      <c r="D32" s="4">
        <v>-0.28496249670432233</v>
      </c>
      <c r="E32" s="2534" t="str">
        <f>IF(       0.546&lt;0.01,"***",IF(       0.546&lt;0.05,"**",IF(       0.546&lt;0.1,"*","NS")))</f>
        <v>NS</v>
      </c>
      <c r="G32" s="296" t="s">
        <v>2429</v>
      </c>
      <c r="H32" s="4">
        <v>0.53237731713245851</v>
      </c>
      <c r="I32" s="4">
        <v>0</v>
      </c>
      <c r="J32" s="4">
        <v>-0.53237731713246184</v>
      </c>
      <c r="K32" s="2535" t="str">
        <f>IF(       0.188&lt;0.01,"***",IF(       0.188&lt;0.05,"**",IF(       0.188&lt;0.1,"*","NS")))</f>
        <v>NS</v>
      </c>
      <c r="L32" s="4">
        <v>0.88867012443741655</v>
      </c>
      <c r="M32" s="4">
        <v>0.35629280730496699</v>
      </c>
      <c r="N32" s="2536" t="str">
        <f>IF(       0.72&lt;0.01,"***",IF(       0.72&lt;0.05,"**",IF(       0.72&lt;0.1,"*","NS")))</f>
        <v>NS</v>
      </c>
      <c r="P32" s="296" t="s">
        <v>2548</v>
      </c>
      <c r="Q32" s="4">
        <v>0.39302589086057188</v>
      </c>
      <c r="R32" s="4">
        <v>0.88867012443741655</v>
      </c>
      <c r="S32" s="4">
        <v>0.49564423357684839</v>
      </c>
      <c r="T32" s="2537" t="str">
        <f>IF(       0.605&lt;0.01,"***",IF(       0.605&lt;0.05,"**",IF(       0.605&lt;0.1,"*","NS")))</f>
        <v>NS</v>
      </c>
    </row>
    <row r="33" spans="1:20" x14ac:dyDescent="0.2">
      <c r="A33" s="296" t="s">
        <v>2327</v>
      </c>
      <c r="B33" s="4">
        <v>2.798770101093083</v>
      </c>
      <c r="C33" s="4">
        <v>1.8336216934707421</v>
      </c>
      <c r="D33" s="4">
        <v>-0.96514840762235332</v>
      </c>
      <c r="E33" s="2538" t="str">
        <f>IF(       0.316&lt;0.01,"***",IF(       0.316&lt;0.05,"**",IF(       0.316&lt;0.1,"*","NS")))</f>
        <v>NS</v>
      </c>
      <c r="G33" s="296" t="s">
        <v>2430</v>
      </c>
      <c r="H33" s="4">
        <v>2.798770101093083</v>
      </c>
      <c r="I33" s="4">
        <v>2.255878734999341</v>
      </c>
      <c r="J33" s="4">
        <v>-0.54289136609374833</v>
      </c>
      <c r="K33" s="2539" t="str">
        <f>IF(       0.564&lt;0.01,"***",IF(       0.564&lt;0.05,"**",IF(       0.564&lt;0.1,"*","NS")))</f>
        <v>NS</v>
      </c>
      <c r="L33" s="4">
        <v>0.66685363530019215</v>
      </c>
      <c r="M33" s="4">
        <v>-2.1319164657929028</v>
      </c>
      <c r="N33" s="2540" t="str">
        <f>IF(       0.097&lt;0.01,"***",IF(       0.097&lt;0.05,"**",IF(       0.097&lt;0.1,"*","NS")))</f>
        <v>*</v>
      </c>
      <c r="P33" s="296" t="s">
        <v>2549</v>
      </c>
      <c r="Q33" s="4">
        <v>2.671691677912619</v>
      </c>
      <c r="R33" s="4">
        <v>0.66685363530019215</v>
      </c>
      <c r="S33" s="4">
        <v>-2.0048380426124597</v>
      </c>
      <c r="T33" s="2541" t="str">
        <f>IF(       0.08&lt;0.01,"***",IF(       0.08&lt;0.05,"**",IF(       0.08&lt;0.1,"*","NS")))</f>
        <v>*</v>
      </c>
    </row>
    <row r="34" spans="1:20" x14ac:dyDescent="0.2">
      <c r="A34" s="296" t="s">
        <v>2328</v>
      </c>
      <c r="B34" s="4">
        <v>0.21413691965802151</v>
      </c>
      <c r="C34" s="4">
        <v>0.32428109261760568</v>
      </c>
      <c r="D34" s="4">
        <v>0.11014417295958599</v>
      </c>
      <c r="E34" s="2542" t="str">
        <f>IF(       0.585&lt;0.01,"***",IF(       0.585&lt;0.05,"**",IF(       0.585&lt;0.1,"*","NS")))</f>
        <v>NS</v>
      </c>
      <c r="G34" s="296" t="s">
        <v>2431</v>
      </c>
      <c r="H34" s="4">
        <v>0.21413691965802151</v>
      </c>
      <c r="I34" s="4">
        <v>0.42218206235770789</v>
      </c>
      <c r="J34" s="4">
        <v>0.20804514269968316</v>
      </c>
      <c r="K34" s="2543" t="str">
        <f>IF(       0.481&lt;0.01,"***",IF(       0.481&lt;0.05,"**",IF(       0.481&lt;0.1,"*","NS")))</f>
        <v>NS</v>
      </c>
      <c r="L34" s="4">
        <v>0</v>
      </c>
      <c r="M34" s="4">
        <v>-0.2141369196580214</v>
      </c>
      <c r="N34" s="2544" t="str">
        <f>IF(       0.184&lt;0.01,"***",IF(       0.184&lt;0.05,"**",IF(       0.184&lt;0.1,"*","NS")))</f>
        <v>NS</v>
      </c>
      <c r="P34" s="296" t="s">
        <v>2550</v>
      </c>
      <c r="Q34" s="4">
        <v>0.26619261485668311</v>
      </c>
      <c r="R34" s="4">
        <v>0</v>
      </c>
      <c r="S34" s="4">
        <v>-0.2661926148566845</v>
      </c>
      <c r="T34" s="2545" t="str">
        <f>IF(       0.23&lt;0.01,"***",IF(       0.23&lt;0.05,"**",IF(       0.23&lt;0.1,"*","NS")))</f>
        <v>NS</v>
      </c>
    </row>
    <row r="35" spans="1:20" x14ac:dyDescent="0.2">
      <c r="A35" s="296" t="s">
        <v>2329</v>
      </c>
      <c r="B35" s="4">
        <v>1.226707622806446</v>
      </c>
      <c r="C35" s="4">
        <v>0.62977017127478807</v>
      </c>
      <c r="D35" s="4">
        <v>-0.59693745153166189</v>
      </c>
      <c r="E35" s="2546" t="str">
        <f>IF(       0.062&lt;0.01,"***",IF(       0.062&lt;0.05,"**",IF(       0.062&lt;0.1,"*","NS")))</f>
        <v>*</v>
      </c>
      <c r="G35" s="296" t="s">
        <v>2432</v>
      </c>
      <c r="H35" s="4">
        <v>1.226707622806446</v>
      </c>
      <c r="I35" s="4">
        <v>0.94129766313589547</v>
      </c>
      <c r="J35" s="4">
        <v>-0.28540995967055133</v>
      </c>
      <c r="K35" s="2547" t="str">
        <f>IF(       0.417&lt;0.01,"***",IF(       0.417&lt;0.05,"**",IF(       0.417&lt;0.1,"*","NS")))</f>
        <v>NS</v>
      </c>
      <c r="L35" s="4">
        <v>0</v>
      </c>
      <c r="M35" s="4">
        <v>-1.2267076228064422</v>
      </c>
      <c r="N35" s="2548" t="str">
        <f>IF(       0.126&lt;0.01,"***",IF(       0.126&lt;0.05,"**",IF(       0.126&lt;0.1,"*","NS")))</f>
        <v>NS</v>
      </c>
      <c r="P35" s="296" t="s">
        <v>2551</v>
      </c>
      <c r="Q35" s="4">
        <v>1.130699577460945</v>
      </c>
      <c r="R35" s="4">
        <v>0</v>
      </c>
      <c r="S35" s="4">
        <v>-1.1306995774609372</v>
      </c>
      <c r="T35" s="2549" t="str">
        <f>IF(       0.176&lt;0.01,"***",IF(       0.176&lt;0.05,"**",IF(       0.176&lt;0.1,"*","NS")))</f>
        <v>NS</v>
      </c>
    </row>
    <row r="36" spans="1:20" x14ac:dyDescent="0.2">
      <c r="A36" s="296" t="s">
        <v>2330</v>
      </c>
      <c r="B36" s="4">
        <v>3.6927790388206698E-2</v>
      </c>
      <c r="C36" s="4">
        <v>0</v>
      </c>
      <c r="D36" s="4">
        <v>-3.6927790388206726E-2</v>
      </c>
      <c r="E36" s="2550" t="str">
        <f>IF(       0.335&lt;0.01,"***",IF(       0.335&lt;0.05,"**",IF(       0.335&lt;0.1,"*","NS")))</f>
        <v>NS</v>
      </c>
      <c r="G36" s="296" t="s">
        <v>2433</v>
      </c>
      <c r="H36" s="4">
        <v>3.6927790388206698E-2</v>
      </c>
      <c r="I36" s="4">
        <v>0</v>
      </c>
      <c r="J36" s="4">
        <v>-3.6927790388206691E-2</v>
      </c>
      <c r="K36" s="2551" t="str">
        <f>IF(       0.335&lt;0.01,"***",IF(       0.335&lt;0.05,"**",IF(       0.335&lt;0.1,"*","NS")))</f>
        <v>NS</v>
      </c>
      <c r="L36" s="4">
        <v>0</v>
      </c>
      <c r="M36" s="4">
        <v>-3.6927790388206809E-2</v>
      </c>
      <c r="N36" s="2552" t="str">
        <f>IF(       0.335&lt;0.01,"***",IF(       0.335&lt;0.05,"**",IF(       0.335&lt;0.1,"*","NS")))</f>
        <v>NS</v>
      </c>
      <c r="P36" s="296" t="s">
        <v>2552</v>
      </c>
      <c r="Q36" s="4">
        <v>2.6832476663754701E-2</v>
      </c>
      <c r="R36" s="4">
        <v>0</v>
      </c>
      <c r="S36" s="4">
        <v>-2.6832476663754809E-2</v>
      </c>
      <c r="T36" s="2553" t="str">
        <f>IF(       0.332&lt;0.01,"***",IF(       0.332&lt;0.05,"**",IF(       0.332&lt;0.1,"*","NS")))</f>
        <v>NS</v>
      </c>
    </row>
    <row r="37" spans="1:20" x14ac:dyDescent="0.2">
      <c r="A37" s="296" t="s">
        <v>5835</v>
      </c>
      <c r="B37" s="4">
        <v>1.0313884007210261</v>
      </c>
      <c r="C37" s="4">
        <v>0.47641181674310412</v>
      </c>
      <c r="D37" s="4">
        <v>-0.55497658397790239</v>
      </c>
      <c r="E37" s="2554" t="str">
        <f>IF(       0.001&lt;0.01,"***",IF(       0.001&lt;0.05,"**",IF(       0.001&lt;0.1,"*","NS")))</f>
        <v>***</v>
      </c>
      <c r="G37" s="296" t="s">
        <v>5835</v>
      </c>
      <c r="H37" s="4">
        <v>1.0313884007210261</v>
      </c>
      <c r="I37" s="4">
        <v>0.57187221123819676</v>
      </c>
      <c r="J37" s="4">
        <v>-0.4595161894828334</v>
      </c>
      <c r="K37" s="2555" t="str">
        <f>IF(       0.004&lt;0.01,"***",IF(       0.004&lt;0.05,"**",IF(       0.004&lt;0.1,"*","NS")))</f>
        <v>***</v>
      </c>
      <c r="L37" s="4">
        <v>0.20869922704326349</v>
      </c>
      <c r="M37" s="4">
        <v>-0.82268917367772654</v>
      </c>
      <c r="N37" s="2556" t="str">
        <f>IF(       0&lt;0.01,"***",IF(       0&lt;0.05,"**",IF(       0&lt;0.1,"*","NS")))</f>
        <v>***</v>
      </c>
      <c r="P37" s="296" t="s">
        <v>5835</v>
      </c>
      <c r="Q37" s="4">
        <v>0.90084550871036373</v>
      </c>
      <c r="R37" s="4">
        <v>0.20869922704326349</v>
      </c>
      <c r="S37" s="4">
        <v>-0.69214628166713221</v>
      </c>
      <c r="T37" s="2557" t="str">
        <f>IF(       0.001&lt;0.01,"***",IF(       0.001&lt;0.05,"**",IF(       0.001&lt;0.1,"*","NS")))</f>
        <v>***</v>
      </c>
    </row>
    <row r="39" spans="1:20" x14ac:dyDescent="0.2">
      <c r="A39" s="296" t="s">
        <v>2331</v>
      </c>
      <c r="G39" s="296" t="s">
        <v>2434</v>
      </c>
      <c r="P39" s="296" t="s">
        <v>2553</v>
      </c>
    </row>
    <row r="40" spans="1:20" s="3" customFormat="1" x14ac:dyDescent="0.2">
      <c r="A40" s="5784" t="s">
        <v>2332</v>
      </c>
      <c r="B40" s="5785" t="s">
        <v>2333</v>
      </c>
      <c r="C40" s="5786" t="s">
        <v>2334</v>
      </c>
      <c r="D40" s="5787" t="s">
        <v>2335</v>
      </c>
      <c r="E40" s="5788" t="s">
        <v>2336</v>
      </c>
      <c r="G40" s="5789" t="s">
        <v>2435</v>
      </c>
      <c r="H40" s="5790" t="s">
        <v>2436</v>
      </c>
      <c r="I40" s="5791" t="s">
        <v>2437</v>
      </c>
      <c r="J40" s="5792" t="s">
        <v>2438</v>
      </c>
      <c r="K40" s="5793" t="s">
        <v>2439</v>
      </c>
      <c r="L40" s="5794" t="s">
        <v>2502</v>
      </c>
      <c r="M40" s="5795" t="s">
        <v>2503</v>
      </c>
      <c r="N40" s="5796" t="s">
        <v>2504</v>
      </c>
      <c r="P40" s="5797" t="s">
        <v>2554</v>
      </c>
      <c r="Q40" s="5798" t="s">
        <v>2555</v>
      </c>
      <c r="R40" s="5799" t="s">
        <v>2556</v>
      </c>
      <c r="S40" s="5800" t="s">
        <v>2557</v>
      </c>
      <c r="T40" s="5801" t="s">
        <v>2558</v>
      </c>
    </row>
    <row r="41" spans="1:20" x14ac:dyDescent="0.2">
      <c r="A41" s="296" t="s">
        <v>2337</v>
      </c>
      <c r="B41" s="4">
        <v>0</v>
      </c>
      <c r="C41" s="4">
        <v>0.30652840497202721</v>
      </c>
      <c r="D41" s="4">
        <v>0.30652840497202499</v>
      </c>
      <c r="E41" s="2558" t="str">
        <f>IF(       0.32&lt;0.01,"***",IF(       0.32&lt;0.05,"**",IF(       0.32&lt;0.1,"*","NS")))</f>
        <v>NS</v>
      </c>
      <c r="G41" s="296" t="s">
        <v>2440</v>
      </c>
      <c r="H41" s="4">
        <v>0</v>
      </c>
      <c r="I41" s="4">
        <v>0.37223353915467022</v>
      </c>
      <c r="J41" s="4">
        <v>0.37223353915467144</v>
      </c>
      <c r="K41" s="2559" t="str">
        <f>IF(       0.316&lt;0.01,"***",IF(       0.316&lt;0.05,"**",IF(       0.316&lt;0.1,"*","NS")))</f>
        <v>NS</v>
      </c>
      <c r="L41" s="4">
        <v>0</v>
      </c>
      <c r="M41" s="4">
        <v>0</v>
      </c>
      <c r="N41" s="2560"/>
      <c r="P41" s="296" t="s">
        <v>2559</v>
      </c>
      <c r="Q41" s="4">
        <v>0.12597740796150009</v>
      </c>
      <c r="R41" s="4">
        <v>0</v>
      </c>
      <c r="S41" s="4">
        <v>-0.12597740796150098</v>
      </c>
      <c r="T41" s="2561" t="str">
        <f>IF(       0.317&lt;0.01,"***",IF(       0.317&lt;0.05,"**",IF(       0.317&lt;0.1,"*","NS")))</f>
        <v>NS</v>
      </c>
    </row>
    <row r="42" spans="1:20" x14ac:dyDescent="0.2">
      <c r="A42" s="296" t="s">
        <v>2338</v>
      </c>
      <c r="B42" s="4">
        <v>0.52068355935092636</v>
      </c>
      <c r="C42" s="4">
        <v>0.16383996102976489</v>
      </c>
      <c r="D42" s="4">
        <v>-0.35684359832115969</v>
      </c>
      <c r="E42" s="2562" t="str">
        <f>IF(       0.245&lt;0.01,"***",IF(       0.245&lt;0.05,"**",IF(       0.245&lt;0.1,"*","NS")))</f>
        <v>NS</v>
      </c>
      <c r="G42" s="296" t="s">
        <v>2441</v>
      </c>
      <c r="H42" s="4">
        <v>0.52068355935092636</v>
      </c>
      <c r="I42" s="4">
        <v>0.22461846225654281</v>
      </c>
      <c r="J42" s="4">
        <v>-0.29606509709438633</v>
      </c>
      <c r="K42" s="2563" t="str">
        <f>IF(       0.389&lt;0.01,"***",IF(       0.389&lt;0.05,"**",IF(       0.389&lt;0.1,"*","NS")))</f>
        <v>NS</v>
      </c>
      <c r="L42" s="4">
        <v>0</v>
      </c>
      <c r="M42" s="4">
        <v>-0.52068355935092847</v>
      </c>
      <c r="N42" s="2564" t="str">
        <f>IF(       0.044&lt;0.01,"***",IF(       0.044&lt;0.05,"**",IF(       0.044&lt;0.1,"*","NS")))</f>
        <v>**</v>
      </c>
      <c r="P42" s="296" t="s">
        <v>2560</v>
      </c>
      <c r="Q42" s="4">
        <v>0.44973069280541628</v>
      </c>
      <c r="R42" s="4">
        <v>0</v>
      </c>
      <c r="S42" s="4">
        <v>-0.44973069280541356</v>
      </c>
      <c r="T42" s="2565" t="str">
        <f>IF(       0.028&lt;0.01,"***",IF(       0.028&lt;0.05,"**",IF(       0.028&lt;0.1,"*","NS")))</f>
        <v>**</v>
      </c>
    </row>
    <row r="43" spans="1:20" x14ac:dyDescent="0.2">
      <c r="A43" s="296" t="s">
        <v>2339</v>
      </c>
      <c r="B43" s="4">
        <v>0.35592032209896141</v>
      </c>
      <c r="C43" s="4">
        <v>0</v>
      </c>
      <c r="D43" s="4">
        <v>-0.35592032209896063</v>
      </c>
      <c r="E43" s="2566" t="str">
        <f>IF(       0.083&lt;0.01,"***",IF(       0.083&lt;0.05,"**",IF(       0.083&lt;0.1,"*","NS")))</f>
        <v>*</v>
      </c>
      <c r="G43" s="296" t="s">
        <v>2442</v>
      </c>
      <c r="H43" s="4">
        <v>0.35592032209896141</v>
      </c>
      <c r="I43" s="4">
        <v>0</v>
      </c>
      <c r="J43" s="4">
        <v>-0.3559203220989598</v>
      </c>
      <c r="K43" s="2567" t="str">
        <f>IF(       0.083&lt;0.01,"***",IF(       0.083&lt;0.05,"**",IF(       0.083&lt;0.1,"*","NS")))</f>
        <v>*</v>
      </c>
      <c r="L43" s="4">
        <v>0</v>
      </c>
      <c r="M43" s="4">
        <v>-0.35592032209895941</v>
      </c>
      <c r="N43" s="2568" t="str">
        <f>IF(       0.083&lt;0.01,"***",IF(       0.083&lt;0.05,"**",IF(       0.083&lt;0.1,"*","NS")))</f>
        <v>*</v>
      </c>
      <c r="P43" s="296" t="s">
        <v>2561</v>
      </c>
      <c r="Q43" s="4">
        <v>0.27147879710008133</v>
      </c>
      <c r="R43" s="4">
        <v>0</v>
      </c>
      <c r="S43" s="4">
        <v>-0.27147879710008305</v>
      </c>
      <c r="T43" s="2569" t="str">
        <f>IF(       0.085&lt;0.01,"***",IF(       0.085&lt;0.05,"**",IF(       0.085&lt;0.1,"*","NS")))</f>
        <v>*</v>
      </c>
    </row>
    <row r="44" spans="1:20" x14ac:dyDescent="0.2">
      <c r="A44" s="296" t="s">
        <v>2340</v>
      </c>
      <c r="B44" s="4">
        <v>9.7165090838095894E-2</v>
      </c>
      <c r="C44" s="4">
        <v>0</v>
      </c>
      <c r="D44" s="4">
        <v>-9.7165090838095935E-2</v>
      </c>
      <c r="E44" s="2570" t="str">
        <f>IF(       0.323&lt;0.01,"***",IF(       0.323&lt;0.05,"**",IF(       0.323&lt;0.1,"*","NS")))</f>
        <v>NS</v>
      </c>
      <c r="G44" s="296" t="s">
        <v>2443</v>
      </c>
      <c r="H44" s="4">
        <v>9.7165090838095894E-2</v>
      </c>
      <c r="I44" s="4">
        <v>0</v>
      </c>
      <c r="J44" s="4">
        <v>-9.7165090838095713E-2</v>
      </c>
      <c r="K44" s="2571" t="str">
        <f>IF(       0.323&lt;0.01,"***",IF(       0.323&lt;0.05,"**",IF(       0.323&lt;0.1,"*","NS")))</f>
        <v>NS</v>
      </c>
      <c r="L44" s="4">
        <v>0</v>
      </c>
      <c r="M44" s="4">
        <v>-9.7165090838095755E-2</v>
      </c>
      <c r="N44" s="2572" t="str">
        <f>IF(       0.323&lt;0.01,"***",IF(       0.323&lt;0.05,"**",IF(       0.323&lt;0.1,"*","NS")))</f>
        <v>NS</v>
      </c>
      <c r="P44" s="296" t="s">
        <v>2562</v>
      </c>
      <c r="Q44" s="4">
        <v>6.9996071711746405E-2</v>
      </c>
      <c r="R44" s="4">
        <v>0</v>
      </c>
      <c r="S44" s="4">
        <v>-6.999607171174653E-2</v>
      </c>
      <c r="T44" s="2573" t="str">
        <f>IF(       0.324&lt;0.01,"***",IF(       0.324&lt;0.05,"**",IF(       0.324&lt;0.1,"*","NS")))</f>
        <v>NS</v>
      </c>
    </row>
    <row r="45" spans="1:20" x14ac:dyDescent="0.2">
      <c r="A45" s="296" t="s">
        <v>2341</v>
      </c>
      <c r="B45" s="4">
        <v>0.88197290733972533</v>
      </c>
      <c r="C45" s="4">
        <v>0.19930479965701819</v>
      </c>
      <c r="D45" s="4">
        <v>-0.68266810768270736</v>
      </c>
      <c r="E45" s="2574" t="str">
        <f>IF(       0.42&lt;0.01,"***",IF(       0.42&lt;0.05,"**",IF(       0.42&lt;0.1,"*","NS")))</f>
        <v>NS</v>
      </c>
      <c r="G45" s="296" t="s">
        <v>2444</v>
      </c>
      <c r="H45" s="4">
        <v>0.88197290733972533</v>
      </c>
      <c r="I45" s="4">
        <v>0.23820246675517501</v>
      </c>
      <c r="J45" s="4">
        <v>-0.64377044058454591</v>
      </c>
      <c r="K45" s="2575" t="str">
        <f>IF(       0.456&lt;0.01,"***",IF(       0.456&lt;0.05,"**",IF(       0.456&lt;0.1,"*","NS")))</f>
        <v>NS</v>
      </c>
      <c r="L45" s="4">
        <v>0</v>
      </c>
      <c r="M45" s="4">
        <v>-0.88197290733971967</v>
      </c>
      <c r="N45" s="2576" t="str">
        <f>IF(       0.266&lt;0.01,"***",IF(       0.266&lt;0.05,"**",IF(       0.266&lt;0.1,"*","NS")))</f>
        <v>NS</v>
      </c>
      <c r="P45" s="296" t="s">
        <v>2563</v>
      </c>
      <c r="Q45" s="4">
        <v>0.71415535301640432</v>
      </c>
      <c r="R45" s="4">
        <v>0</v>
      </c>
      <c r="S45" s="4">
        <v>-0.71415535301640554</v>
      </c>
      <c r="T45" s="2577" t="str">
        <f>IF(       0.217&lt;0.01,"***",IF(       0.217&lt;0.05,"**",IF(       0.217&lt;0.1,"*","NS")))</f>
        <v>NS</v>
      </c>
    </row>
    <row r="46" spans="1:20" x14ac:dyDescent="0.2">
      <c r="A46" s="296" t="s">
        <v>2342</v>
      </c>
      <c r="B46" s="4">
        <v>0.58212353216355572</v>
      </c>
      <c r="C46" s="4">
        <v>2.4609155134693299E-2</v>
      </c>
      <c r="D46" s="4">
        <v>-0.55751437702886175</v>
      </c>
      <c r="E46" s="2578" t="str">
        <f>IF(       0.075&lt;0.01,"***",IF(       0.075&lt;0.05,"**",IF(       0.075&lt;0.1,"*","NS")))</f>
        <v>*</v>
      </c>
      <c r="G46" s="296" t="s">
        <v>2445</v>
      </c>
      <c r="H46" s="4">
        <v>0.58212353216355572</v>
      </c>
      <c r="I46" s="4">
        <v>9.3382337074434003E-3</v>
      </c>
      <c r="J46" s="4">
        <v>-0.57278529845611059</v>
      </c>
      <c r="K46" s="2579" t="str">
        <f>IF(       0.068&lt;0.01,"***",IF(       0.068&lt;0.05,"**",IF(       0.068&lt;0.1,"*","NS")))</f>
        <v>*</v>
      </c>
      <c r="L46" s="4">
        <v>7.7787166723702603E-2</v>
      </c>
      <c r="M46" s="4">
        <v>-0.50433636543985061</v>
      </c>
      <c r="N46" s="2580" t="str">
        <f>IF(       0.116&lt;0.01,"***",IF(       0.116&lt;0.05,"**",IF(       0.116&lt;0.1,"*","NS")))</f>
        <v>NS</v>
      </c>
      <c r="P46" s="296" t="s">
        <v>2564</v>
      </c>
      <c r="Q46" s="4">
        <v>0.42801022355470741</v>
      </c>
      <c r="R46" s="4">
        <v>7.7787166723702603E-2</v>
      </c>
      <c r="S46" s="4">
        <v>-0.35022305683100374</v>
      </c>
      <c r="T46" s="2581" t="str">
        <f>IF(       0.146&lt;0.01,"***",IF(       0.146&lt;0.05,"**",IF(       0.146&lt;0.1,"*","NS")))</f>
        <v>NS</v>
      </c>
    </row>
    <row r="47" spans="1:20" x14ac:dyDescent="0.2">
      <c r="A47" s="296" t="s">
        <v>2343</v>
      </c>
      <c r="B47" s="4" t="s">
        <v>6067</v>
      </c>
      <c r="C47" s="4" t="s">
        <v>6067</v>
      </c>
      <c r="D47" s="4" t="s">
        <v>6067</v>
      </c>
      <c r="E47" s="4" t="s">
        <v>6067</v>
      </c>
      <c r="G47" s="296" t="s">
        <v>2446</v>
      </c>
      <c r="H47" s="4" t="s">
        <v>6067</v>
      </c>
      <c r="I47" s="4" t="s">
        <v>6067</v>
      </c>
      <c r="J47" s="4" t="s">
        <v>6067</v>
      </c>
      <c r="K47" s="4" t="s">
        <v>6067</v>
      </c>
      <c r="L47" s="4" t="s">
        <v>6067</v>
      </c>
      <c r="M47" s="4" t="s">
        <v>6067</v>
      </c>
      <c r="N47" s="4" t="s">
        <v>6067</v>
      </c>
      <c r="P47" s="296" t="s">
        <v>2565</v>
      </c>
      <c r="Q47" s="4" t="s">
        <v>6067</v>
      </c>
      <c r="R47" s="4" t="s">
        <v>6067</v>
      </c>
      <c r="S47" s="4" t="s">
        <v>6067</v>
      </c>
      <c r="T47" s="4" t="s">
        <v>6067</v>
      </c>
    </row>
    <row r="48" spans="1:20" x14ac:dyDescent="0.2">
      <c r="A48" s="296" t="s">
        <v>2344</v>
      </c>
      <c r="B48" s="4">
        <v>0</v>
      </c>
      <c r="C48" s="4">
        <v>0</v>
      </c>
      <c r="D48" s="4">
        <v>0</v>
      </c>
      <c r="E48" s="2582"/>
      <c r="G48" s="296" t="s">
        <v>2447</v>
      </c>
      <c r="H48" s="4">
        <v>0</v>
      </c>
      <c r="I48" s="4">
        <v>0</v>
      </c>
      <c r="J48" s="4">
        <v>0</v>
      </c>
      <c r="K48" s="2583"/>
      <c r="L48" s="4">
        <v>0</v>
      </c>
      <c r="M48" s="4">
        <v>0</v>
      </c>
      <c r="N48" s="2584"/>
      <c r="P48" s="296" t="s">
        <v>2566</v>
      </c>
      <c r="Q48" s="4">
        <v>0</v>
      </c>
      <c r="R48" s="4">
        <v>0</v>
      </c>
      <c r="S48" s="4">
        <v>0</v>
      </c>
      <c r="T48" s="2585"/>
    </row>
    <row r="49" spans="1:20" x14ac:dyDescent="0.2">
      <c r="A49" s="296" t="s">
        <v>2345</v>
      </c>
      <c r="B49" s="4">
        <v>0.64095791289533766</v>
      </c>
      <c r="C49" s="4">
        <v>0.26405060400718511</v>
      </c>
      <c r="D49" s="4">
        <v>-0.37690730888815188</v>
      </c>
      <c r="E49" s="2586" t="str">
        <f>IF(       0.165&lt;0.01,"***",IF(       0.165&lt;0.05,"**",IF(       0.165&lt;0.1,"*","NS")))</f>
        <v>NS</v>
      </c>
      <c r="G49" s="296" t="s">
        <v>2448</v>
      </c>
      <c r="H49" s="4">
        <v>0.64095791289533766</v>
      </c>
      <c r="I49" s="4">
        <v>0</v>
      </c>
      <c r="J49" s="4">
        <v>-0.64095791289533366</v>
      </c>
      <c r="K49" s="2587" t="str">
        <f>IF(       0.143&lt;0.01,"***",IF(       0.143&lt;0.05,"**",IF(       0.143&lt;0.1,"*","NS")))</f>
        <v>NS</v>
      </c>
      <c r="L49" s="4">
        <v>0.73307182603374321</v>
      </c>
      <c r="M49" s="4">
        <v>9.2113913138404738E-2</v>
      </c>
      <c r="N49" s="2588" t="str">
        <f>IF(       0.847&lt;0.01,"***",IF(       0.847&lt;0.05,"**",IF(       0.847&lt;0.1,"*","NS")))</f>
        <v>NS</v>
      </c>
      <c r="P49" s="296" t="s">
        <v>2567</v>
      </c>
      <c r="Q49" s="4">
        <v>0.45138301474968401</v>
      </c>
      <c r="R49" s="4">
        <v>0.73307182603374321</v>
      </c>
      <c r="S49" s="4">
        <v>0.28168881128405965</v>
      </c>
      <c r="T49" s="2589" t="str">
        <f>IF(       0.601&lt;0.01,"***",IF(       0.601&lt;0.05,"**",IF(       0.601&lt;0.1,"*","NS")))</f>
        <v>NS</v>
      </c>
    </row>
    <row r="50" spans="1:20" x14ac:dyDescent="0.2">
      <c r="A50" s="296" t="s">
        <v>2346</v>
      </c>
      <c r="B50" s="4">
        <v>0.39882408991634422</v>
      </c>
      <c r="C50" s="4">
        <v>0</v>
      </c>
      <c r="D50" s="4">
        <v>-0.39882408991634477</v>
      </c>
      <c r="E50" s="2590" t="str">
        <f>IF(       0.199&lt;0.01,"***",IF(       0.199&lt;0.05,"**",IF(       0.199&lt;0.1,"*","NS")))</f>
        <v>NS</v>
      </c>
      <c r="G50" s="296" t="s">
        <v>2449</v>
      </c>
      <c r="H50" s="4">
        <v>0.39882408991634422</v>
      </c>
      <c r="I50" s="4">
        <v>0</v>
      </c>
      <c r="J50" s="4">
        <v>-0.39882408991634188</v>
      </c>
      <c r="K50" s="2591" t="str">
        <f>IF(       0.199&lt;0.01,"***",IF(       0.199&lt;0.05,"**",IF(       0.199&lt;0.1,"*","NS")))</f>
        <v>NS</v>
      </c>
      <c r="L50" s="4">
        <v>0</v>
      </c>
      <c r="M50" s="4">
        <v>-0.39882408991634455</v>
      </c>
      <c r="N50" s="2592" t="str">
        <f>IF(       0.199&lt;0.01,"***",IF(       0.199&lt;0.05,"**",IF(       0.199&lt;0.1,"*","NS")))</f>
        <v>NS</v>
      </c>
      <c r="P50" s="296" t="s">
        <v>2568</v>
      </c>
      <c r="Q50" s="4">
        <v>0.25326322125386141</v>
      </c>
      <c r="R50" s="4">
        <v>0</v>
      </c>
      <c r="S50" s="4">
        <v>-0.25326322125386275</v>
      </c>
      <c r="T50" s="2593" t="str">
        <f>IF(       0.201&lt;0.01,"***",IF(       0.201&lt;0.05,"**",IF(       0.201&lt;0.1,"*","NS")))</f>
        <v>NS</v>
      </c>
    </row>
    <row r="51" spans="1:20" x14ac:dyDescent="0.2">
      <c r="A51" s="296" t="s">
        <v>2347</v>
      </c>
      <c r="B51" s="4">
        <v>0.50840138547288738</v>
      </c>
      <c r="C51" s="4">
        <v>0.61989121549392312</v>
      </c>
      <c r="D51" s="4">
        <v>0.11148983002103406</v>
      </c>
      <c r="E51" s="2594" t="str">
        <f>IF(       0.89&lt;0.01,"***",IF(       0.89&lt;0.05,"**",IF(       0.89&lt;0.1,"*","NS")))</f>
        <v>NS</v>
      </c>
      <c r="G51" s="296" t="s">
        <v>2450</v>
      </c>
      <c r="H51" s="4">
        <v>0.50840138547288738</v>
      </c>
      <c r="I51" s="4">
        <v>0.83725445400454479</v>
      </c>
      <c r="J51" s="4">
        <v>0.32885306853165652</v>
      </c>
      <c r="K51" s="2595" t="str">
        <f>IF(       0.737&lt;0.01,"***",IF(       0.737&lt;0.05,"**",IF(       0.737&lt;0.1,"*","NS")))</f>
        <v>NS</v>
      </c>
      <c r="L51" s="4">
        <v>0</v>
      </c>
      <c r="M51" s="4">
        <v>-0.5084013854728896</v>
      </c>
      <c r="N51" s="2596" t="str">
        <f>IF(       0.319&lt;0.01,"***",IF(       0.319&lt;0.05,"**",IF(       0.319&lt;0.1,"*","NS")))</f>
        <v>NS</v>
      </c>
      <c r="P51" s="296" t="s">
        <v>2569</v>
      </c>
      <c r="Q51" s="4">
        <v>0.57962205580002124</v>
      </c>
      <c r="R51" s="4">
        <v>0</v>
      </c>
      <c r="S51" s="4">
        <v>-0.57962205580002202</v>
      </c>
      <c r="T51" s="2597" t="str">
        <f>IF(       0.187&lt;0.01,"***",IF(       0.187&lt;0.05,"**",IF(       0.187&lt;0.1,"*","NS")))</f>
        <v>NS</v>
      </c>
    </row>
    <row r="52" spans="1:20" x14ac:dyDescent="0.2">
      <c r="A52" s="296" t="s">
        <v>2348</v>
      </c>
      <c r="B52" s="4">
        <v>3.6815363579005091</v>
      </c>
      <c r="C52" s="4">
        <v>1.0429997994157161</v>
      </c>
      <c r="D52" s="4">
        <v>-2.6385365584847955</v>
      </c>
      <c r="E52" s="2598" t="str">
        <f>IF(       0.119&lt;0.01,"***",IF(       0.119&lt;0.05,"**",IF(       0.119&lt;0.1,"*","NS")))</f>
        <v>NS</v>
      </c>
      <c r="G52" s="296" t="s">
        <v>2451</v>
      </c>
      <c r="H52" s="4">
        <v>3.6815363579005091</v>
      </c>
      <c r="I52" s="4">
        <v>1.365927174280209</v>
      </c>
      <c r="J52" s="4">
        <v>-2.3156091836203103</v>
      </c>
      <c r="K52" s="2599" t="str">
        <f>IF(       0.188&lt;0.01,"***",IF(       0.188&lt;0.05,"**",IF(       0.188&lt;0.1,"*","NS")))</f>
        <v>NS</v>
      </c>
      <c r="L52" s="4">
        <v>0</v>
      </c>
      <c r="M52" s="4">
        <v>-3.6815363579004816</v>
      </c>
      <c r="N52" s="2600" t="str">
        <f>IF(       0.022&lt;0.01,"***",IF(       0.022&lt;0.05,"**",IF(       0.022&lt;0.1,"*","NS")))</f>
        <v>**</v>
      </c>
      <c r="P52" s="296" t="s">
        <v>2570</v>
      </c>
      <c r="Q52" s="4">
        <v>3.2233615366852799</v>
      </c>
      <c r="R52" s="4">
        <v>0</v>
      </c>
      <c r="S52" s="4">
        <v>-3.223361536685271</v>
      </c>
      <c r="T52" s="2601" t="str">
        <f>IF(       0.014&lt;0.01,"***",IF(       0.014&lt;0.05,"**",IF(       0.014&lt;0.1,"*","NS")))</f>
        <v>**</v>
      </c>
    </row>
    <row r="53" spans="1:20" x14ac:dyDescent="0.2">
      <c r="A53" s="296" t="s">
        <v>2349</v>
      </c>
      <c r="B53" s="4">
        <v>0.24554378114276279</v>
      </c>
      <c r="C53" s="4">
        <v>0.2387109307858164</v>
      </c>
      <c r="D53" s="4">
        <v>-6.8328503569475164E-3</v>
      </c>
      <c r="E53" s="2602" t="str">
        <f>IF(       0.984&lt;0.01,"***",IF(       0.984&lt;0.05,"**",IF(       0.984&lt;0.1,"*","NS")))</f>
        <v>NS</v>
      </c>
      <c r="G53" s="296" t="s">
        <v>2452</v>
      </c>
      <c r="H53" s="4">
        <v>0.24554378114276279</v>
      </c>
      <c r="I53" s="4">
        <v>0.32553048776804122</v>
      </c>
      <c r="J53" s="4">
        <v>7.9986706625275308E-2</v>
      </c>
      <c r="K53" s="2603" t="str">
        <f>IF(       0.845&lt;0.01,"***",IF(       0.845&lt;0.05,"**",IF(       0.845&lt;0.1,"*","NS")))</f>
        <v>NS</v>
      </c>
      <c r="L53" s="4">
        <v>0</v>
      </c>
      <c r="M53" s="4">
        <v>-0.24554378114276257</v>
      </c>
      <c r="N53" s="2604" t="str">
        <f>IF(       0.326&lt;0.01,"***",IF(       0.326&lt;0.05,"**",IF(       0.326&lt;0.1,"*","NS")))</f>
        <v>NS</v>
      </c>
      <c r="P53" s="296" t="s">
        <v>2571</v>
      </c>
      <c r="Q53" s="4">
        <v>0.26111855168862153</v>
      </c>
      <c r="R53" s="4">
        <v>0</v>
      </c>
      <c r="S53" s="4">
        <v>-0.26111855168861997</v>
      </c>
      <c r="T53" s="2605" t="str">
        <f>IF(       0.218&lt;0.01,"***",IF(       0.218&lt;0.05,"**",IF(       0.218&lt;0.1,"*","NS")))</f>
        <v>NS</v>
      </c>
    </row>
    <row r="54" spans="1:20" x14ac:dyDescent="0.2">
      <c r="A54" s="296" t="s">
        <v>2350</v>
      </c>
      <c r="B54" s="4">
        <v>0.96838127946248409</v>
      </c>
      <c r="C54" s="4">
        <v>0.95947844580082442</v>
      </c>
      <c r="D54" s="4">
        <v>-8.9028336616599757E-3</v>
      </c>
      <c r="E54" s="2606" t="str">
        <f>IF(       0.973&lt;0.01,"***",IF(       0.973&lt;0.05,"**",IF(       0.973&lt;0.1,"*","NS")))</f>
        <v>NS</v>
      </c>
      <c r="G54" s="296" t="s">
        <v>2453</v>
      </c>
      <c r="H54" s="4">
        <v>0.96838127946248409</v>
      </c>
      <c r="I54" s="4">
        <v>0</v>
      </c>
      <c r="J54" s="4">
        <v>-0.96838127946247943</v>
      </c>
      <c r="K54" s="2607" t="str">
        <f>IF(       0.158&lt;0.01,"***",IF(       0.158&lt;0.05,"**",IF(       0.158&lt;0.1,"*","NS")))</f>
        <v>NS</v>
      </c>
      <c r="L54" s="4">
        <v>3.3268471415644472</v>
      </c>
      <c r="M54" s="4">
        <v>2.358465862101967</v>
      </c>
      <c r="N54" s="2608" t="str">
        <f>IF(       0.135&lt;0.01,"***",IF(       0.135&lt;0.05,"**",IF(       0.135&lt;0.1,"*","NS")))</f>
        <v>NS</v>
      </c>
      <c r="P54" s="296" t="s">
        <v>2572</v>
      </c>
      <c r="Q54" s="4">
        <v>0.65539513007690009</v>
      </c>
      <c r="R54" s="4">
        <v>3.3268471415644472</v>
      </c>
      <c r="S54" s="4">
        <v>2.6714520114875486</v>
      </c>
      <c r="T54" s="2609" t="str">
        <f>IF(       0.131&lt;0.01,"***",IF(       0.131&lt;0.05,"**",IF(       0.131&lt;0.1,"*","NS")))</f>
        <v>NS</v>
      </c>
    </row>
    <row r="55" spans="1:20" x14ac:dyDescent="0.2">
      <c r="A55" s="296" t="s">
        <v>2351</v>
      </c>
      <c r="B55" s="4">
        <v>8.9899316748503696E-2</v>
      </c>
      <c r="C55" s="4">
        <v>0</v>
      </c>
      <c r="D55" s="4">
        <v>-8.9899316748503377E-2</v>
      </c>
      <c r="E55" s="2610" t="str">
        <f>IF(       0.334&lt;0.01,"***",IF(       0.334&lt;0.05,"**",IF(       0.334&lt;0.1,"*","NS")))</f>
        <v>NS</v>
      </c>
      <c r="G55" s="296" t="s">
        <v>2454</v>
      </c>
      <c r="H55" s="4">
        <v>8.9899316748503696E-2</v>
      </c>
      <c r="I55" s="4">
        <v>0</v>
      </c>
      <c r="J55" s="4">
        <v>-8.9899316748503919E-2</v>
      </c>
      <c r="K55" s="2611" t="str">
        <f>IF(       0.334&lt;0.01,"***",IF(       0.334&lt;0.05,"**",IF(       0.334&lt;0.1,"*","NS")))</f>
        <v>NS</v>
      </c>
      <c r="L55" s="4">
        <v>0</v>
      </c>
      <c r="M55" s="4">
        <v>-8.9899316748504016E-2</v>
      </c>
      <c r="N55" s="2612" t="str">
        <f>IF(       0.334&lt;0.01,"***",IF(       0.334&lt;0.05,"**",IF(       0.334&lt;0.1,"*","NS")))</f>
        <v>NS</v>
      </c>
      <c r="P55" s="296" t="s">
        <v>2573</v>
      </c>
      <c r="Q55" s="4">
        <v>6.8063033187468203E-2</v>
      </c>
      <c r="R55" s="4">
        <v>0</v>
      </c>
      <c r="S55" s="4">
        <v>-6.8063033187468036E-2</v>
      </c>
      <c r="T55" s="2613" t="str">
        <f>IF(       0.333&lt;0.01,"***",IF(       0.333&lt;0.05,"**",IF(       0.333&lt;0.1,"*","NS")))</f>
        <v>NS</v>
      </c>
    </row>
    <row r="56" spans="1:20" x14ac:dyDescent="0.2">
      <c r="A56" s="296" t="s">
        <v>5835</v>
      </c>
      <c r="B56" s="4">
        <v>1.237696058656327</v>
      </c>
      <c r="C56" s="4">
        <v>0.50754447532331748</v>
      </c>
      <c r="D56" s="4">
        <v>-0.73015158333300134</v>
      </c>
      <c r="E56" s="2614" t="str">
        <f>IF(       0.009&lt;0.01,"***",IF(       0.009&lt;0.05,"**",IF(       0.009&lt;0.1,"*","NS")))</f>
        <v>***</v>
      </c>
      <c r="G56" s="296" t="s">
        <v>5835</v>
      </c>
      <c r="H56" s="4">
        <v>1.237696058656327</v>
      </c>
      <c r="I56" s="4">
        <v>0.46637345914445971</v>
      </c>
      <c r="J56" s="4">
        <v>-0.771322599511858</v>
      </c>
      <c r="K56" s="2615" t="str">
        <f>IF(       0.008&lt;0.01,"***",IF(       0.008&lt;0.05,"**",IF(       0.008&lt;0.1,"*","NS")))</f>
        <v>***</v>
      </c>
      <c r="L56" s="4">
        <v>0.6362952326451361</v>
      </c>
      <c r="M56" s="4">
        <v>-0.60140082601118383</v>
      </c>
      <c r="N56" s="2616" t="str">
        <f>IF(       0.088&lt;0.01,"***",IF(       0.088&lt;0.05,"**",IF(       0.088&lt;0.1,"*","NS")))</f>
        <v>*</v>
      </c>
      <c r="P56" s="296" t="s">
        <v>5835</v>
      </c>
      <c r="Q56" s="4">
        <v>1.046067910960915</v>
      </c>
      <c r="R56" s="4">
        <v>0.6362952326451361</v>
      </c>
      <c r="S56" s="4">
        <v>-0.4097726783157617</v>
      </c>
      <c r="T56" s="2617" t="str">
        <f>IF(       0.196&lt;0.01,"***",IF(       0.196&lt;0.05,"**",IF(       0.196&lt;0.1,"*","NS")))</f>
        <v>NS</v>
      </c>
    </row>
    <row r="58" spans="1:20" x14ac:dyDescent="0.2">
      <c r="A58" s="296" t="s">
        <v>2352</v>
      </c>
      <c r="G58" s="296" t="s">
        <v>2455</v>
      </c>
      <c r="P58" s="296" t="s">
        <v>2574</v>
      </c>
    </row>
    <row r="59" spans="1:20" s="3" customFormat="1" x14ac:dyDescent="0.2">
      <c r="A59" s="5802" t="s">
        <v>2353</v>
      </c>
      <c r="B59" s="5803" t="s">
        <v>2354</v>
      </c>
      <c r="C59" s="5804" t="s">
        <v>2355</v>
      </c>
      <c r="D59" s="5805" t="s">
        <v>2356</v>
      </c>
      <c r="E59" s="5806" t="s">
        <v>2357</v>
      </c>
      <c r="G59" s="5807" t="s">
        <v>2456</v>
      </c>
      <c r="H59" s="5808" t="s">
        <v>2457</v>
      </c>
      <c r="I59" s="5809" t="s">
        <v>2458</v>
      </c>
      <c r="J59" s="5810" t="s">
        <v>2459</v>
      </c>
      <c r="K59" s="5811" t="s">
        <v>2460</v>
      </c>
      <c r="L59" s="5812" t="s">
        <v>2505</v>
      </c>
      <c r="M59" s="5813" t="s">
        <v>2506</v>
      </c>
      <c r="N59" s="5814" t="s">
        <v>2507</v>
      </c>
      <c r="P59" s="5815" t="s">
        <v>2575</v>
      </c>
      <c r="Q59" s="5816" t="s">
        <v>2576</v>
      </c>
      <c r="R59" s="5817" t="s">
        <v>2577</v>
      </c>
      <c r="S59" s="5818" t="s">
        <v>2578</v>
      </c>
      <c r="T59" s="5819" t="s">
        <v>2579</v>
      </c>
    </row>
    <row r="60" spans="1:20" x14ac:dyDescent="0.2">
      <c r="A60" s="296" t="s">
        <v>2358</v>
      </c>
      <c r="B60" s="4">
        <v>0</v>
      </c>
      <c r="C60" s="4">
        <v>0.16825636463366689</v>
      </c>
      <c r="D60" s="4">
        <v>0.168256364633667</v>
      </c>
      <c r="E60" s="2618"/>
      <c r="G60" s="296" t="s">
        <v>2461</v>
      </c>
      <c r="H60" s="4">
        <v>0</v>
      </c>
      <c r="I60" s="4">
        <v>0.21070960220326079</v>
      </c>
      <c r="J60" s="4">
        <v>0.21070960220326176</v>
      </c>
      <c r="K60" s="2619" t="str">
        <f>IF(       0.317&lt;0.01,"***",IF(       0.317&lt;0.05,"**",IF(       0.317&lt;0.1,"*","NS")))</f>
        <v>NS</v>
      </c>
      <c r="L60" s="4">
        <v>0</v>
      </c>
      <c r="M60" s="4">
        <v>0</v>
      </c>
      <c r="N60" s="2620"/>
      <c r="P60" s="296" t="s">
        <v>2580</v>
      </c>
      <c r="Q60" s="4">
        <v>7.7893952052600607E-2</v>
      </c>
      <c r="R60" s="4">
        <v>0</v>
      </c>
      <c r="S60" s="4">
        <v>-7.7893952052599136E-2</v>
      </c>
      <c r="T60" s="2621" t="str">
        <f>IF(       0.319&lt;0.01,"***",IF(       0.319&lt;0.05,"**",IF(       0.319&lt;0.1,"*","NS")))</f>
        <v>NS</v>
      </c>
    </row>
    <row r="61" spans="1:20" x14ac:dyDescent="0.2">
      <c r="A61" s="296" t="s">
        <v>2359</v>
      </c>
      <c r="B61" s="4">
        <v>0.47326705877295638</v>
      </c>
      <c r="C61" s="4">
        <v>8.2919186677301499E-2</v>
      </c>
      <c r="D61" s="4">
        <v>-0.39034787209565563</v>
      </c>
      <c r="E61" s="2622" t="str">
        <f>IF(       0.074&lt;0.01,"***",IF(       0.074&lt;0.05,"**",IF(       0.074&lt;0.1,"*","NS")))</f>
        <v>*</v>
      </c>
      <c r="G61" s="296" t="s">
        <v>2462</v>
      </c>
      <c r="H61" s="4">
        <v>0.47326705877295638</v>
      </c>
      <c r="I61" s="4">
        <v>0.1147723895157826</v>
      </c>
      <c r="J61" s="4">
        <v>-0.35849466925717605</v>
      </c>
      <c r="K61" s="2623" t="str">
        <f>IF(       0.115&lt;0.01,"***",IF(       0.115&lt;0.05,"**",IF(       0.115&lt;0.1,"*","NS")))</f>
        <v>NS</v>
      </c>
      <c r="L61" s="4">
        <v>0</v>
      </c>
      <c r="M61" s="4">
        <v>-0.47326705877295278</v>
      </c>
      <c r="N61" s="2624" t="str">
        <f>IF(       0.03&lt;0.01,"***",IF(       0.03&lt;0.05,"**",IF(       0.03&lt;0.1,"*","NS")))</f>
        <v>**</v>
      </c>
      <c r="P61" s="296" t="s">
        <v>2581</v>
      </c>
      <c r="Q61" s="4">
        <v>0.36274724761432819</v>
      </c>
      <c r="R61" s="4">
        <v>0</v>
      </c>
      <c r="S61" s="4">
        <v>-0.36274724761432903</v>
      </c>
      <c r="T61" s="2625" t="str">
        <f>IF(       0.026&lt;0.01,"***",IF(       0.026&lt;0.05,"**",IF(       0.026&lt;0.1,"*","NS")))</f>
        <v>**</v>
      </c>
    </row>
    <row r="62" spans="1:20" x14ac:dyDescent="0.2">
      <c r="A62" s="296" t="s">
        <v>2360</v>
      </c>
      <c r="B62" s="4">
        <v>0.44094415862381547</v>
      </c>
      <c r="C62" s="4">
        <v>0</v>
      </c>
      <c r="D62" s="4">
        <v>-0.44094415862381608</v>
      </c>
      <c r="E62" s="2626" t="str">
        <f>IF(       0.104&lt;0.01,"***",IF(       0.104&lt;0.05,"**",IF(       0.104&lt;0.1,"*","NS")))</f>
        <v>NS</v>
      </c>
      <c r="G62" s="296" t="s">
        <v>2463</v>
      </c>
      <c r="H62" s="4">
        <v>0.44094415862381547</v>
      </c>
      <c r="I62" s="4">
        <v>0</v>
      </c>
      <c r="J62" s="4">
        <v>-0.44094415862381964</v>
      </c>
      <c r="K62" s="2627" t="str">
        <f>IF(       0.104&lt;0.01,"***",IF(       0.104&lt;0.05,"**",IF(       0.104&lt;0.1,"*","NS")))</f>
        <v>NS</v>
      </c>
      <c r="L62" s="4">
        <v>0</v>
      </c>
      <c r="M62" s="4">
        <v>-0.44094415862381697</v>
      </c>
      <c r="N62" s="2628" t="str">
        <f>IF(       0.104&lt;0.01,"***",IF(       0.104&lt;0.05,"**",IF(       0.104&lt;0.1,"*","NS")))</f>
        <v>NS</v>
      </c>
      <c r="P62" s="296" t="s">
        <v>2582</v>
      </c>
      <c r="Q62" s="4">
        <v>0.3284814452949088</v>
      </c>
      <c r="R62" s="4">
        <v>0</v>
      </c>
      <c r="S62" s="4">
        <v>-0.32848144529490075</v>
      </c>
      <c r="T62" s="2629" t="str">
        <f>IF(       0.104&lt;0.01,"***",IF(       0.104&lt;0.05,"**",IF(       0.104&lt;0.1,"*","NS")))</f>
        <v>NS</v>
      </c>
    </row>
    <row r="63" spans="1:20" x14ac:dyDescent="0.2">
      <c r="A63" s="296" t="s">
        <v>2361</v>
      </c>
      <c r="B63" s="4">
        <v>0</v>
      </c>
      <c r="C63" s="4">
        <v>0</v>
      </c>
      <c r="D63" s="4">
        <v>0</v>
      </c>
      <c r="E63" s="2630"/>
      <c r="G63" s="296" t="s">
        <v>2464</v>
      </c>
      <c r="H63" s="4">
        <v>0</v>
      </c>
      <c r="I63" s="4">
        <v>0</v>
      </c>
      <c r="J63" s="4">
        <v>0</v>
      </c>
      <c r="K63" s="2631"/>
      <c r="L63" s="4">
        <v>0</v>
      </c>
      <c r="M63" s="4">
        <v>0</v>
      </c>
      <c r="N63" s="2632"/>
      <c r="P63" s="296" t="s">
        <v>2583</v>
      </c>
      <c r="Q63" s="4">
        <v>0</v>
      </c>
      <c r="R63" s="4">
        <v>0</v>
      </c>
      <c r="S63" s="4">
        <v>0</v>
      </c>
      <c r="T63" s="2633"/>
    </row>
    <row r="64" spans="1:20" x14ac:dyDescent="0.2">
      <c r="A64" s="296" t="s">
        <v>2362</v>
      </c>
      <c r="B64" s="4">
        <v>0</v>
      </c>
      <c r="C64" s="4">
        <v>0</v>
      </c>
      <c r="D64" s="4">
        <v>0</v>
      </c>
      <c r="E64" s="2634"/>
      <c r="G64" s="296" t="s">
        <v>2465</v>
      </c>
      <c r="H64" s="4">
        <v>0</v>
      </c>
      <c r="I64" s="4">
        <v>0</v>
      </c>
      <c r="J64" s="4">
        <v>0</v>
      </c>
      <c r="K64" s="2635"/>
      <c r="L64" s="4">
        <v>0</v>
      </c>
      <c r="M64" s="4">
        <v>0</v>
      </c>
      <c r="N64" s="2636"/>
      <c r="P64" s="296" t="s">
        <v>2584</v>
      </c>
      <c r="Q64" s="4">
        <v>0</v>
      </c>
      <c r="R64" s="4">
        <v>0</v>
      </c>
      <c r="S64" s="4">
        <v>0</v>
      </c>
      <c r="T64" s="2637"/>
    </row>
    <row r="65" spans="1:20" x14ac:dyDescent="0.2">
      <c r="A65" s="296" t="s">
        <v>2363</v>
      </c>
      <c r="B65" s="4">
        <v>0.16672555509620751</v>
      </c>
      <c r="C65" s="4">
        <v>0.1238036167533758</v>
      </c>
      <c r="D65" s="4">
        <v>-4.2921938342831936E-2</v>
      </c>
      <c r="E65" s="2638" t="str">
        <f>IF(       0.666&lt;0.01,"***",IF(       0.666&lt;0.05,"**",IF(       0.666&lt;0.1,"*","NS")))</f>
        <v>NS</v>
      </c>
      <c r="G65" s="296" t="s">
        <v>2466</v>
      </c>
      <c r="H65" s="4">
        <v>0.16672555509620751</v>
      </c>
      <c r="I65" s="4">
        <v>0.15249261534998451</v>
      </c>
      <c r="J65" s="4">
        <v>-1.4232939746222962E-2</v>
      </c>
      <c r="K65" s="2639" t="str">
        <f>IF(       0.904&lt;0.01,"***",IF(       0.904&lt;0.05,"**",IF(       0.904&lt;0.1,"*","NS")))</f>
        <v>NS</v>
      </c>
      <c r="L65" s="4">
        <v>3.5540141127947997E-2</v>
      </c>
      <c r="M65" s="4">
        <v>-0.13118541396826178</v>
      </c>
      <c r="N65" s="2640" t="str">
        <f>IF(       0.23&lt;0.01,"***",IF(       0.23&lt;0.05,"**",IF(       0.23&lt;0.1,"*","NS")))</f>
        <v>NS</v>
      </c>
      <c r="P65" s="296" t="s">
        <v>2585</v>
      </c>
      <c r="Q65" s="4">
        <v>0.1625634796036044</v>
      </c>
      <c r="R65" s="4">
        <v>3.5540141127947997E-2</v>
      </c>
      <c r="S65" s="4">
        <v>-0.12702333847566061</v>
      </c>
      <c r="T65" s="2641" t="str">
        <f>IF(       0.225&lt;0.01,"***",IF(       0.225&lt;0.05,"**",IF(       0.225&lt;0.1,"*","NS")))</f>
        <v>NS</v>
      </c>
    </row>
    <row r="66" spans="1:20" x14ac:dyDescent="0.2">
      <c r="A66" s="296" t="s">
        <v>12</v>
      </c>
      <c r="B66" s="4" t="s">
        <v>6067</v>
      </c>
      <c r="C66" s="4" t="s">
        <v>6067</v>
      </c>
      <c r="D66" s="4" t="s">
        <v>6067</v>
      </c>
      <c r="E66" s="4" t="s">
        <v>6067</v>
      </c>
      <c r="G66" s="296" t="s">
        <v>12</v>
      </c>
      <c r="H66" s="4" t="s">
        <v>6067</v>
      </c>
      <c r="I66" s="4" t="s">
        <v>6067</v>
      </c>
      <c r="J66" s="4" t="s">
        <v>6067</v>
      </c>
      <c r="K66" s="4" t="s">
        <v>6067</v>
      </c>
      <c r="L66" s="4" t="s">
        <v>6067</v>
      </c>
      <c r="M66" s="4" t="s">
        <v>6067</v>
      </c>
      <c r="N66" s="4" t="s">
        <v>6067</v>
      </c>
      <c r="P66" s="296" t="s">
        <v>12</v>
      </c>
      <c r="Q66" s="4" t="s">
        <v>6067</v>
      </c>
      <c r="R66" s="4" t="s">
        <v>6067</v>
      </c>
      <c r="S66" s="4" t="s">
        <v>6067</v>
      </c>
      <c r="T66" s="4" t="s">
        <v>6067</v>
      </c>
    </row>
    <row r="67" spans="1:20" x14ac:dyDescent="0.2">
      <c r="A67" s="347" t="s">
        <v>13</v>
      </c>
      <c r="B67" s="4">
        <v>0</v>
      </c>
      <c r="C67" s="4">
        <v>0</v>
      </c>
      <c r="D67" s="4">
        <v>0</v>
      </c>
      <c r="E67" s="2642"/>
      <c r="G67" s="296" t="s">
        <v>2467</v>
      </c>
      <c r="H67" s="4">
        <v>0</v>
      </c>
      <c r="I67" s="4">
        <v>0</v>
      </c>
      <c r="J67" s="4">
        <v>0</v>
      </c>
      <c r="K67" s="2643"/>
      <c r="L67" s="4">
        <v>0</v>
      </c>
      <c r="M67" s="4">
        <v>0</v>
      </c>
      <c r="N67" s="2644"/>
      <c r="P67" s="296" t="s">
        <v>2586</v>
      </c>
      <c r="Q67" s="4">
        <v>0</v>
      </c>
      <c r="R67" s="4">
        <v>0</v>
      </c>
      <c r="S67" s="4">
        <v>0</v>
      </c>
      <c r="T67" s="2645"/>
    </row>
    <row r="68" spans="1:20" x14ac:dyDescent="0.2">
      <c r="A68" s="296" t="s">
        <v>2364</v>
      </c>
      <c r="B68" s="4">
        <v>0.38612907356517517</v>
      </c>
      <c r="C68" s="4">
        <v>0.23667460789303371</v>
      </c>
      <c r="D68" s="4">
        <v>-0.14945446567214407</v>
      </c>
      <c r="E68" s="2646" t="str">
        <f>IF(       0.175&lt;0.01,"***",IF(       0.175&lt;0.05,"**",IF(       0.175&lt;0.1,"*","NS")))</f>
        <v>NS</v>
      </c>
      <c r="G68" s="296" t="s">
        <v>2468</v>
      </c>
      <c r="H68" s="4">
        <v>0.38612907356517517</v>
      </c>
      <c r="I68" s="4">
        <v>0</v>
      </c>
      <c r="J68" s="4">
        <v>-0.38612907356517956</v>
      </c>
      <c r="K68" s="2647" t="str">
        <f>IF(       0.247&lt;0.01,"***",IF(       0.247&lt;0.05,"**",IF(       0.247&lt;0.1,"*","NS")))</f>
        <v>NS</v>
      </c>
      <c r="L68" s="4">
        <v>0.60533096017310883</v>
      </c>
      <c r="M68" s="4">
        <v>0.21920188660794018</v>
      </c>
      <c r="N68" s="2648" t="str">
        <f>IF(       0.467&lt;0.01,"***",IF(       0.467&lt;0.05,"**",IF(       0.467&lt;0.1,"*","NS")))</f>
        <v>NS</v>
      </c>
      <c r="P68" s="296" t="s">
        <v>2587</v>
      </c>
      <c r="Q68" s="4">
        <v>0.24850748260669131</v>
      </c>
      <c r="R68" s="4">
        <v>0.60533096017310883</v>
      </c>
      <c r="S68" s="4">
        <v>0.35682347756642208</v>
      </c>
      <c r="T68" s="2649" t="str">
        <f>IF(       0.386&lt;0.01,"***",IF(       0.386&lt;0.05,"**",IF(       0.386&lt;0.1,"*","NS")))</f>
        <v>NS</v>
      </c>
    </row>
    <row r="69" spans="1:20" x14ac:dyDescent="0.2">
      <c r="A69" s="296" t="s">
        <v>2365</v>
      </c>
      <c r="B69" s="4">
        <v>0.42223266401433562</v>
      </c>
      <c r="C69" s="4">
        <v>0.22759286987996841</v>
      </c>
      <c r="D69" s="4">
        <v>-0.19463979413436813</v>
      </c>
      <c r="E69" s="2650" t="str">
        <f>IF(       0.298&lt;0.01,"***",IF(       0.298&lt;0.05,"**",IF(       0.298&lt;0.1,"*","NS")))</f>
        <v>NS</v>
      </c>
      <c r="G69" s="296" t="s">
        <v>2469</v>
      </c>
      <c r="H69" s="4">
        <v>0.42223266401433562</v>
      </c>
      <c r="I69" s="4">
        <v>0.2970467887363572</v>
      </c>
      <c r="J69" s="4">
        <v>-0.12518587527798042</v>
      </c>
      <c r="K69" s="2651" t="str">
        <f>IF(       0.496&lt;0.01,"***",IF(       0.496&lt;0.05,"**",IF(       0.496&lt;0.1,"*","NS")))</f>
        <v>NS</v>
      </c>
      <c r="L69" s="4">
        <v>0</v>
      </c>
      <c r="M69" s="4">
        <v>-0.42223266401433285</v>
      </c>
      <c r="N69" s="2652" t="str">
        <f>IF(       0.163&lt;0.01,"***",IF(       0.163&lt;0.05,"**",IF(       0.163&lt;0.1,"*","NS")))</f>
        <v>NS</v>
      </c>
      <c r="P69" s="296" t="s">
        <v>2588</v>
      </c>
      <c r="Q69" s="4">
        <v>0.3738528326458776</v>
      </c>
      <c r="R69" s="4">
        <v>0</v>
      </c>
      <c r="S69" s="4">
        <v>-0.37385283264587016</v>
      </c>
      <c r="T69" s="2653" t="str">
        <f>IF(       0.172&lt;0.01,"***",IF(       0.172&lt;0.05,"**",IF(       0.172&lt;0.1,"*","NS")))</f>
        <v>NS</v>
      </c>
    </row>
    <row r="70" spans="1:20" x14ac:dyDescent="0.2">
      <c r="A70" s="296" t="s">
        <v>2366</v>
      </c>
      <c r="B70" s="4">
        <v>0</v>
      </c>
      <c r="C70" s="4">
        <v>0.51886072077457501</v>
      </c>
      <c r="D70" s="4">
        <v>0.51886072077457701</v>
      </c>
      <c r="E70" s="2654" t="str">
        <f>IF(       0.324&lt;0.01,"***",IF(       0.324&lt;0.05,"**",IF(       0.324&lt;0.1,"*","NS")))</f>
        <v>NS</v>
      </c>
      <c r="G70" s="296" t="s">
        <v>2470</v>
      </c>
      <c r="H70" s="4">
        <v>0</v>
      </c>
      <c r="I70" s="4">
        <v>0.47337550596597761</v>
      </c>
      <c r="J70" s="4">
        <v>0.47337550596598776</v>
      </c>
      <c r="K70" s="2655" t="str">
        <f>IF(       0.321&lt;0.01,"***",IF(       0.321&lt;0.05,"**",IF(       0.321&lt;0.1,"*","NS")))</f>
        <v>NS</v>
      </c>
      <c r="L70" s="4">
        <v>0.64229261433369589</v>
      </c>
      <c r="M70" s="4">
        <v>0.64229261433369789</v>
      </c>
      <c r="N70" s="2656"/>
      <c r="P70" s="296" t="s">
        <v>2589</v>
      </c>
      <c r="Q70" s="4">
        <v>0.12386448011170829</v>
      </c>
      <c r="R70" s="4">
        <v>0.64229261433369589</v>
      </c>
      <c r="S70" s="4">
        <v>0.5184281342219843</v>
      </c>
      <c r="T70" s="2657" t="str">
        <f>IF(       0.337&lt;0.01,"***",IF(       0.337&lt;0.05,"**",IF(       0.337&lt;0.1,"*","NS")))</f>
        <v>NS</v>
      </c>
    </row>
    <row r="71" spans="1:20" x14ac:dyDescent="0.2">
      <c r="A71" s="296" t="s">
        <v>2367</v>
      </c>
      <c r="B71" s="4">
        <v>1.3352752690826799</v>
      </c>
      <c r="C71" s="4">
        <v>0.91420876435302789</v>
      </c>
      <c r="D71" s="4">
        <v>-0.42106650472966134</v>
      </c>
      <c r="E71" s="2658" t="str">
        <f>IF(       0.685&lt;0.01,"***",IF(       0.685&lt;0.05,"**",IF(       0.685&lt;0.1,"*","NS")))</f>
        <v>NS</v>
      </c>
      <c r="G71" s="296" t="s">
        <v>2471</v>
      </c>
      <c r="H71" s="4">
        <v>1.3352752690826799</v>
      </c>
      <c r="I71" s="4">
        <v>1.0842953434039191</v>
      </c>
      <c r="J71" s="4">
        <v>-0.2509799256787556</v>
      </c>
      <c r="K71" s="2659" t="str">
        <f>IF(       0.812&lt;0.01,"***",IF(       0.812&lt;0.05,"**",IF(       0.812&lt;0.1,"*","NS")))</f>
        <v>NS</v>
      </c>
      <c r="L71" s="4">
        <v>0.49311384290639643</v>
      </c>
      <c r="M71" s="4">
        <v>-0.84216142617629763</v>
      </c>
      <c r="N71" s="2660" t="str">
        <f>IF(       0.428&lt;0.01,"***",IF(       0.428&lt;0.05,"**",IF(       0.428&lt;0.1,"*","NS")))</f>
        <v>NS</v>
      </c>
      <c r="P71" s="296" t="s">
        <v>2590</v>
      </c>
      <c r="Q71" s="4">
        <v>1.2734293416795579</v>
      </c>
      <c r="R71" s="4">
        <v>0.49311384290639643</v>
      </c>
      <c r="S71" s="4">
        <v>-0.78031549877316964</v>
      </c>
      <c r="T71" s="2661" t="str">
        <f>IF(       0.349&lt;0.01,"***",IF(       0.349&lt;0.05,"**",IF(       0.349&lt;0.1,"*","NS")))</f>
        <v>NS</v>
      </c>
    </row>
    <row r="72" spans="1:20" x14ac:dyDescent="0.2">
      <c r="A72" s="296" t="s">
        <v>2368</v>
      </c>
      <c r="B72" s="4">
        <v>0.26470192326763542</v>
      </c>
      <c r="C72" s="4">
        <v>0.31070348630441957</v>
      </c>
      <c r="D72" s="4">
        <v>4.6001563036784487E-2</v>
      </c>
      <c r="E72" s="2662" t="str">
        <f>IF(       0.874&lt;0.01,"***",IF(       0.874&lt;0.05,"**",IF(       0.874&lt;0.1,"*","NS")))</f>
        <v>NS</v>
      </c>
      <c r="G72" s="296" t="s">
        <v>2472</v>
      </c>
      <c r="H72" s="4">
        <v>0.26470192326763542</v>
      </c>
      <c r="I72" s="4">
        <v>0.41370737568648369</v>
      </c>
      <c r="J72" s="4">
        <v>0.14900545241884525</v>
      </c>
      <c r="K72" s="2663" t="str">
        <f>IF(       0.691&lt;0.01,"***",IF(       0.691&lt;0.05,"**",IF(       0.691&lt;0.1,"*","NS")))</f>
        <v>NS</v>
      </c>
      <c r="L72" s="4">
        <v>0</v>
      </c>
      <c r="M72" s="4">
        <v>-0.26470192326763836</v>
      </c>
      <c r="N72" s="2664" t="str">
        <f>IF(       0.191&lt;0.01,"***",IF(       0.191&lt;0.05,"**",IF(       0.191&lt;0.1,"*","NS")))</f>
        <v>NS</v>
      </c>
      <c r="P72" s="296" t="s">
        <v>2591</v>
      </c>
      <c r="Q72" s="4">
        <v>0.30010498935513591</v>
      </c>
      <c r="R72" s="4">
        <v>0</v>
      </c>
      <c r="S72" s="4">
        <v>-0.30010498935514007</v>
      </c>
      <c r="T72" s="2665" t="str">
        <f>IF(       0.168&lt;0.01,"***",IF(       0.168&lt;0.05,"**",IF(       0.168&lt;0.1,"*","NS")))</f>
        <v>NS</v>
      </c>
    </row>
    <row r="73" spans="1:20" x14ac:dyDescent="0.2">
      <c r="A73" s="296" t="s">
        <v>2369</v>
      </c>
      <c r="B73" s="4">
        <v>7.5383678955045996E-2</v>
      </c>
      <c r="C73" s="4">
        <v>0</v>
      </c>
      <c r="D73" s="4">
        <v>-7.5383678955047245E-2</v>
      </c>
      <c r="E73" s="2666" t="str">
        <f>IF(       0.323&lt;0.01,"***",IF(       0.323&lt;0.05,"**",IF(       0.323&lt;0.1,"*","NS")))</f>
        <v>NS</v>
      </c>
      <c r="G73" s="296" t="s">
        <v>2473</v>
      </c>
      <c r="H73" s="4">
        <v>7.5383678955045996E-2</v>
      </c>
      <c r="I73" s="4">
        <v>0</v>
      </c>
      <c r="J73" s="4">
        <v>-7.5383678955045968E-2</v>
      </c>
      <c r="K73" s="2667" t="str">
        <f>IF(       0.323&lt;0.01,"***",IF(       0.323&lt;0.05,"**",IF(       0.323&lt;0.1,"*","NS")))</f>
        <v>NS</v>
      </c>
      <c r="L73" s="4">
        <v>0</v>
      </c>
      <c r="M73" s="4">
        <v>-7.5383678955045691E-2</v>
      </c>
      <c r="N73" s="2668" t="str">
        <f>IF(       0.323&lt;0.01,"***",IF(       0.323&lt;0.05,"**",IF(       0.323&lt;0.1,"*","NS")))</f>
        <v>NS</v>
      </c>
      <c r="P73" s="296" t="s">
        <v>2592</v>
      </c>
      <c r="Q73" s="4">
        <v>4.97636369977607E-2</v>
      </c>
      <c r="R73" s="4">
        <v>0</v>
      </c>
      <c r="S73" s="4">
        <v>-4.9763636997759701E-2</v>
      </c>
      <c r="T73" s="2669" t="str">
        <f>IF(       0.323&lt;0.01,"***",IF(       0.323&lt;0.05,"**",IF(       0.323&lt;0.1,"*","NS")))</f>
        <v>NS</v>
      </c>
    </row>
    <row r="74" spans="1:20" x14ac:dyDescent="0.2">
      <c r="A74" s="296" t="s">
        <v>2370</v>
      </c>
      <c r="B74" s="4">
        <v>0</v>
      </c>
      <c r="C74" s="4">
        <v>0</v>
      </c>
      <c r="D74" s="4">
        <v>0</v>
      </c>
      <c r="E74" s="2670"/>
      <c r="G74" s="296" t="s">
        <v>2474</v>
      </c>
      <c r="H74" s="4">
        <v>0</v>
      </c>
      <c r="I74" s="4">
        <v>0</v>
      </c>
      <c r="J74" s="4">
        <v>0</v>
      </c>
      <c r="K74" s="2671"/>
      <c r="L74" s="4">
        <v>0</v>
      </c>
      <c r="M74" s="4">
        <v>0</v>
      </c>
      <c r="N74" s="2672"/>
      <c r="P74" s="296" t="s">
        <v>2593</v>
      </c>
      <c r="Q74" s="4">
        <v>0</v>
      </c>
      <c r="R74" s="4">
        <v>0</v>
      </c>
      <c r="S74" s="4">
        <v>0</v>
      </c>
      <c r="T74" s="2673"/>
    </row>
    <row r="75" spans="1:20" x14ac:dyDescent="0.2">
      <c r="A75" s="296" t="s">
        <v>5835</v>
      </c>
      <c r="B75" s="4">
        <v>0.29614790542594382</v>
      </c>
      <c r="C75" s="4">
        <v>0.21937163067464521</v>
      </c>
      <c r="D75" s="4">
        <v>-7.6776274751298612E-2</v>
      </c>
      <c r="E75" s="2674" t="str">
        <f>IF(       0.553&lt;0.01,"***",IF(       0.553&lt;0.05,"**",IF(       0.553&lt;0.1,"*","NS")))</f>
        <v>NS</v>
      </c>
      <c r="G75" s="296" t="s">
        <v>5835</v>
      </c>
      <c r="H75" s="4">
        <v>0.29614790542594382</v>
      </c>
      <c r="I75" s="4">
        <v>0.23423533006969061</v>
      </c>
      <c r="J75" s="4">
        <v>-6.1912575356249833E-2</v>
      </c>
      <c r="K75" s="2675" t="str">
        <f>IF(       0.629&lt;0.01,"***",IF(       0.629&lt;0.05,"**",IF(       0.629&lt;0.1,"*","NS")))</f>
        <v>NS</v>
      </c>
      <c r="L75" s="4">
        <v>0.176929251528083</v>
      </c>
      <c r="M75" s="4">
        <v>-0.11921865389786586</v>
      </c>
      <c r="N75" s="2676" t="str">
        <f>IF(       0.424&lt;0.01,"***",IF(       0.424&lt;0.05,"**",IF(       0.424&lt;0.1,"*","NS")))</f>
        <v>NS</v>
      </c>
      <c r="P75" s="296" t="s">
        <v>5835</v>
      </c>
      <c r="Q75" s="4">
        <v>0.27811098491078062</v>
      </c>
      <c r="R75" s="4">
        <v>0.176929251528083</v>
      </c>
      <c r="S75" s="4">
        <v>-0.10118173338269873</v>
      </c>
      <c r="T75" s="2677" t="str">
        <f>IF(       0.396&lt;0.01,"***",IF(       0.396&lt;0.05,"**",IF(       0.396&lt;0.1,"*","NS")))</f>
        <v>NS</v>
      </c>
    </row>
    <row r="77" spans="1:20" x14ac:dyDescent="0.2">
      <c r="A77" s="296" t="s">
        <v>2371</v>
      </c>
      <c r="G77" s="296" t="s">
        <v>2475</v>
      </c>
      <c r="P77" s="296" t="s">
        <v>2594</v>
      </c>
    </row>
    <row r="78" spans="1:20" s="3" customFormat="1" x14ac:dyDescent="0.2">
      <c r="A78" s="5820" t="s">
        <v>2372</v>
      </c>
      <c r="B78" s="5821" t="s">
        <v>2373</v>
      </c>
      <c r="C78" s="5822" t="s">
        <v>2374</v>
      </c>
      <c r="D78" s="5823" t="s">
        <v>2375</v>
      </c>
      <c r="E78" s="5824" t="s">
        <v>2376</v>
      </c>
      <c r="G78" s="5825" t="s">
        <v>2476</v>
      </c>
      <c r="H78" s="5826" t="s">
        <v>2477</v>
      </c>
      <c r="I78" s="5827" t="s">
        <v>2478</v>
      </c>
      <c r="J78" s="5828" t="s">
        <v>2479</v>
      </c>
      <c r="K78" s="5829" t="s">
        <v>2480</v>
      </c>
      <c r="L78" s="5830" t="s">
        <v>2508</v>
      </c>
      <c r="M78" s="5831" t="s">
        <v>2509</v>
      </c>
      <c r="N78" s="5832" t="s">
        <v>2510</v>
      </c>
      <c r="P78" s="5833" t="s">
        <v>2595</v>
      </c>
      <c r="Q78" s="5834" t="s">
        <v>2596</v>
      </c>
      <c r="R78" s="5835" t="s">
        <v>2597</v>
      </c>
      <c r="S78" s="5836" t="s">
        <v>2598</v>
      </c>
      <c r="T78" s="5837" t="s">
        <v>2599</v>
      </c>
    </row>
    <row r="79" spans="1:20" x14ac:dyDescent="0.2">
      <c r="A79" s="296" t="s">
        <v>2377</v>
      </c>
      <c r="B79" s="4" t="s">
        <v>6067</v>
      </c>
      <c r="C79" s="4" t="s">
        <v>6067</v>
      </c>
      <c r="D79" s="4" t="s">
        <v>6067</v>
      </c>
      <c r="E79" s="4" t="s">
        <v>6067</v>
      </c>
      <c r="G79" s="296" t="s">
        <v>2481</v>
      </c>
      <c r="H79" s="4" t="s">
        <v>6067</v>
      </c>
      <c r="I79" s="4" t="s">
        <v>6067</v>
      </c>
      <c r="J79" s="4" t="s">
        <v>6067</v>
      </c>
      <c r="K79" s="4" t="s">
        <v>6067</v>
      </c>
      <c r="L79" s="4" t="s">
        <v>6067</v>
      </c>
      <c r="M79" s="4" t="s">
        <v>6067</v>
      </c>
      <c r="N79" s="4" t="s">
        <v>6067</v>
      </c>
      <c r="P79" s="296" t="s">
        <v>2600</v>
      </c>
      <c r="Q79" s="4" t="s">
        <v>6067</v>
      </c>
      <c r="R79" s="4" t="s">
        <v>6067</v>
      </c>
      <c r="S79" s="4" t="s">
        <v>6067</v>
      </c>
      <c r="T79" s="4" t="s">
        <v>6067</v>
      </c>
    </row>
    <row r="80" spans="1:20" x14ac:dyDescent="0.2">
      <c r="A80" s="296" t="s">
        <v>2378</v>
      </c>
      <c r="B80" s="4">
        <v>0.89650680121532633</v>
      </c>
      <c r="C80" s="4">
        <v>0.28030280937487062</v>
      </c>
      <c r="D80" s="4">
        <v>-0.61620399184046126</v>
      </c>
      <c r="E80" s="2678" t="str">
        <f>IF(       0.287&lt;0.01,"***",IF(       0.287&lt;0.05,"**",IF(       0.287&lt;0.1,"*","NS")))</f>
        <v>NS</v>
      </c>
      <c r="G80" s="296" t="s">
        <v>2482</v>
      </c>
      <c r="H80" s="4">
        <v>0.89650680121532633</v>
      </c>
      <c r="I80" s="4">
        <v>0.38462939295599058</v>
      </c>
      <c r="J80" s="4">
        <v>-0.51187740825933425</v>
      </c>
      <c r="K80" s="2679" t="str">
        <f>IF(       0.409&lt;0.01,"***",IF(       0.409&lt;0.05,"**",IF(       0.409&lt;0.1,"*","NS")))</f>
        <v>NS</v>
      </c>
      <c r="L80" s="4">
        <v>0</v>
      </c>
      <c r="M80" s="4">
        <v>-0.89650680121532988</v>
      </c>
      <c r="N80" s="2680" t="str">
        <f>IF(       0.126&lt;0.01,"***",IF(       0.126&lt;0.05,"**",IF(       0.126&lt;0.1,"*","NS")))</f>
        <v>NS</v>
      </c>
      <c r="P80" s="296" t="s">
        <v>2601</v>
      </c>
      <c r="Q80" s="4">
        <v>0.77671555779630908</v>
      </c>
      <c r="R80" s="4">
        <v>0</v>
      </c>
      <c r="S80" s="4">
        <v>-0.77671555779631296</v>
      </c>
      <c r="T80" s="2681" t="str">
        <f>IF(       0.116&lt;0.01,"***",IF(       0.116&lt;0.05,"**",IF(       0.116&lt;0.1,"*","NS")))</f>
        <v>NS</v>
      </c>
    </row>
    <row r="81" spans="1:20" x14ac:dyDescent="0.2">
      <c r="A81" s="296" t="s">
        <v>2379</v>
      </c>
      <c r="B81" s="4" t="s">
        <v>6067</v>
      </c>
      <c r="C81" s="4" t="s">
        <v>6067</v>
      </c>
      <c r="D81" s="4" t="s">
        <v>6067</v>
      </c>
      <c r="E81" s="4" t="s">
        <v>6067</v>
      </c>
      <c r="G81" s="296" t="s">
        <v>2483</v>
      </c>
      <c r="H81" s="4" t="s">
        <v>6067</v>
      </c>
      <c r="I81" s="4" t="s">
        <v>6067</v>
      </c>
      <c r="J81" s="4" t="s">
        <v>6067</v>
      </c>
      <c r="K81" s="4" t="s">
        <v>6067</v>
      </c>
      <c r="L81" s="4" t="s">
        <v>6067</v>
      </c>
      <c r="M81" s="4" t="s">
        <v>6067</v>
      </c>
      <c r="N81" s="4" t="s">
        <v>6067</v>
      </c>
      <c r="P81" s="296" t="s">
        <v>2602</v>
      </c>
      <c r="Q81" s="4" t="s">
        <v>6067</v>
      </c>
      <c r="R81" s="4" t="s">
        <v>6067</v>
      </c>
      <c r="S81" s="4" t="s">
        <v>6067</v>
      </c>
      <c r="T81" s="4" t="s">
        <v>6067</v>
      </c>
    </row>
    <row r="82" spans="1:20" x14ac:dyDescent="0.2">
      <c r="A82" s="296" t="s">
        <v>2380</v>
      </c>
      <c r="B82" s="4" t="s">
        <v>6067</v>
      </c>
      <c r="C82" s="4" t="s">
        <v>6067</v>
      </c>
      <c r="D82" s="4" t="s">
        <v>6067</v>
      </c>
      <c r="E82" s="4" t="s">
        <v>6067</v>
      </c>
      <c r="G82" s="296" t="s">
        <v>2484</v>
      </c>
      <c r="H82" s="4" t="s">
        <v>6067</v>
      </c>
      <c r="I82" s="4" t="s">
        <v>6067</v>
      </c>
      <c r="J82" s="4" t="s">
        <v>6067</v>
      </c>
      <c r="K82" s="4" t="s">
        <v>6067</v>
      </c>
      <c r="L82" s="4" t="s">
        <v>6067</v>
      </c>
      <c r="M82" s="4" t="s">
        <v>6067</v>
      </c>
      <c r="N82" s="4" t="s">
        <v>6067</v>
      </c>
      <c r="P82" s="296" t="s">
        <v>2603</v>
      </c>
      <c r="Q82" s="4" t="s">
        <v>6067</v>
      </c>
      <c r="R82" s="4" t="s">
        <v>6067</v>
      </c>
      <c r="S82" s="4" t="s">
        <v>6067</v>
      </c>
      <c r="T82" s="4" t="s">
        <v>6067</v>
      </c>
    </row>
    <row r="83" spans="1:20" x14ac:dyDescent="0.2">
      <c r="A83" s="296" t="s">
        <v>2381</v>
      </c>
      <c r="B83" s="4" t="s">
        <v>6067</v>
      </c>
      <c r="C83" s="4" t="s">
        <v>6067</v>
      </c>
      <c r="D83" s="4" t="s">
        <v>6067</v>
      </c>
      <c r="E83" s="4" t="s">
        <v>6067</v>
      </c>
      <c r="G83" s="296" t="s">
        <v>2485</v>
      </c>
      <c r="H83" s="4" t="s">
        <v>6067</v>
      </c>
      <c r="I83" s="4" t="s">
        <v>6067</v>
      </c>
      <c r="J83" s="4" t="s">
        <v>6067</v>
      </c>
      <c r="K83" s="4" t="s">
        <v>6067</v>
      </c>
      <c r="L83" s="4" t="s">
        <v>6067</v>
      </c>
      <c r="M83" s="4" t="s">
        <v>6067</v>
      </c>
      <c r="N83" s="4" t="s">
        <v>6067</v>
      </c>
      <c r="P83" s="296" t="s">
        <v>2604</v>
      </c>
      <c r="Q83" s="4" t="s">
        <v>6067</v>
      </c>
      <c r="R83" s="4" t="s">
        <v>6067</v>
      </c>
      <c r="S83" s="4" t="s">
        <v>6067</v>
      </c>
      <c r="T83" s="4" t="s">
        <v>6067</v>
      </c>
    </row>
    <row r="84" spans="1:20" x14ac:dyDescent="0.2">
      <c r="A84" s="296" t="s">
        <v>2382</v>
      </c>
      <c r="B84" s="4" t="s">
        <v>6067</v>
      </c>
      <c r="C84" s="4" t="s">
        <v>6067</v>
      </c>
      <c r="D84" s="4" t="s">
        <v>6067</v>
      </c>
      <c r="E84" s="4" t="s">
        <v>6067</v>
      </c>
      <c r="G84" s="296" t="s">
        <v>2486</v>
      </c>
      <c r="H84" s="4" t="s">
        <v>6067</v>
      </c>
      <c r="I84" s="4" t="s">
        <v>6067</v>
      </c>
      <c r="J84" s="4" t="s">
        <v>6067</v>
      </c>
      <c r="K84" s="4" t="s">
        <v>6067</v>
      </c>
      <c r="L84" s="4" t="s">
        <v>6067</v>
      </c>
      <c r="M84" s="4" t="s">
        <v>6067</v>
      </c>
      <c r="N84" s="4" t="s">
        <v>6067</v>
      </c>
      <c r="P84" s="296" t="s">
        <v>2605</v>
      </c>
      <c r="Q84" s="4" t="s">
        <v>6067</v>
      </c>
      <c r="R84" s="4" t="s">
        <v>6067</v>
      </c>
      <c r="S84" s="4" t="s">
        <v>6067</v>
      </c>
      <c r="T84" s="4" t="s">
        <v>6067</v>
      </c>
    </row>
    <row r="85" spans="1:20" x14ac:dyDescent="0.2">
      <c r="A85" s="296" t="s">
        <v>2383</v>
      </c>
      <c r="B85" s="4">
        <v>5.7649228348526202</v>
      </c>
      <c r="C85" s="4">
        <v>5.2348627846283184</v>
      </c>
      <c r="D85" s="4">
        <v>-0.53006005022428848</v>
      </c>
      <c r="E85" s="2682" t="str">
        <f>IF(       0.666&lt;0.01,"***",IF(       0.666&lt;0.05,"**",IF(       0.666&lt;0.1,"*","NS")))</f>
        <v>NS</v>
      </c>
      <c r="G85" s="296" t="s">
        <v>2487</v>
      </c>
      <c r="H85" s="4">
        <v>5.7649228348526202</v>
      </c>
      <c r="I85" s="4">
        <v>5.4831423150591769</v>
      </c>
      <c r="J85" s="4">
        <v>-0.28178051979343716</v>
      </c>
      <c r="K85" s="2683" t="str">
        <f>IF(       0.826&lt;0.01,"***",IF(       0.826&lt;0.05,"**",IF(       0.826&lt;0.1,"*","NS")))</f>
        <v>NS</v>
      </c>
      <c r="L85" s="4">
        <v>4.0847738878598028</v>
      </c>
      <c r="M85" s="4">
        <v>-1.6801489469928463</v>
      </c>
      <c r="N85" s="2684" t="str">
        <f>IF(       0.424&lt;0.01,"***",IF(       0.424&lt;0.05,"**",IF(       0.424&lt;0.1,"*","NS")))</f>
        <v>NS</v>
      </c>
      <c r="P85" s="296" t="s">
        <v>2606</v>
      </c>
      <c r="Q85" s="4">
        <v>5.7231423148286176</v>
      </c>
      <c r="R85" s="4">
        <v>4.0847738878598028</v>
      </c>
      <c r="S85" s="4">
        <v>-1.6383684269688765</v>
      </c>
      <c r="T85" s="2685" t="str">
        <f>IF(       0.424&lt;0.01,"***",IF(       0.424&lt;0.05,"**",IF(       0.424&lt;0.1,"*","NS")))</f>
        <v>NS</v>
      </c>
    </row>
    <row r="86" spans="1:20" x14ac:dyDescent="0.2">
      <c r="A86" s="296" t="s">
        <v>2384</v>
      </c>
      <c r="B86" s="4" t="s">
        <v>6067</v>
      </c>
      <c r="C86" s="4" t="s">
        <v>6067</v>
      </c>
      <c r="D86" s="4" t="s">
        <v>6067</v>
      </c>
      <c r="E86" s="4" t="s">
        <v>6067</v>
      </c>
      <c r="G86" s="296" t="s">
        <v>2488</v>
      </c>
      <c r="H86" s="4" t="s">
        <v>6067</v>
      </c>
      <c r="I86" s="4" t="s">
        <v>6067</v>
      </c>
      <c r="J86" s="4" t="s">
        <v>6067</v>
      </c>
      <c r="K86" s="4" t="s">
        <v>6067</v>
      </c>
      <c r="L86" s="4" t="s">
        <v>6067</v>
      </c>
      <c r="M86" s="4" t="s">
        <v>6067</v>
      </c>
      <c r="N86" s="4" t="s">
        <v>6067</v>
      </c>
      <c r="P86" s="296" t="s">
        <v>2607</v>
      </c>
      <c r="Q86" s="4" t="s">
        <v>6067</v>
      </c>
      <c r="R86" s="4" t="s">
        <v>6067</v>
      </c>
      <c r="S86" s="4" t="s">
        <v>6067</v>
      </c>
      <c r="T86" s="4" t="s">
        <v>6067</v>
      </c>
    </row>
    <row r="87" spans="1:20" x14ac:dyDescent="0.2">
      <c r="A87" s="296" t="s">
        <v>2385</v>
      </c>
      <c r="B87" s="4" t="s">
        <v>6067</v>
      </c>
      <c r="C87" s="4" t="s">
        <v>6067</v>
      </c>
      <c r="D87" s="4" t="s">
        <v>6067</v>
      </c>
      <c r="E87" s="4" t="s">
        <v>6067</v>
      </c>
      <c r="G87" s="296" t="s">
        <v>2489</v>
      </c>
      <c r="H87" s="4" t="s">
        <v>6067</v>
      </c>
      <c r="I87" s="4" t="s">
        <v>6067</v>
      </c>
      <c r="J87" s="4" t="s">
        <v>6067</v>
      </c>
      <c r="K87" s="4" t="s">
        <v>6067</v>
      </c>
      <c r="L87" s="4" t="s">
        <v>6067</v>
      </c>
      <c r="M87" s="4" t="s">
        <v>6067</v>
      </c>
      <c r="N87" s="4" t="s">
        <v>6067</v>
      </c>
      <c r="P87" s="296" t="s">
        <v>2608</v>
      </c>
      <c r="Q87" s="4" t="s">
        <v>6067</v>
      </c>
      <c r="R87" s="4" t="s">
        <v>6067</v>
      </c>
      <c r="S87" s="4" t="s">
        <v>6067</v>
      </c>
      <c r="T87" s="4" t="s">
        <v>6067</v>
      </c>
    </row>
    <row r="88" spans="1:20" x14ac:dyDescent="0.2">
      <c r="A88" s="296" t="s">
        <v>2386</v>
      </c>
      <c r="B88" s="4" t="s">
        <v>6067</v>
      </c>
      <c r="C88" s="4" t="s">
        <v>6067</v>
      </c>
      <c r="D88" s="4" t="s">
        <v>6067</v>
      </c>
      <c r="E88" s="4" t="s">
        <v>6067</v>
      </c>
      <c r="G88" s="296" t="s">
        <v>2490</v>
      </c>
      <c r="H88" s="4" t="s">
        <v>6067</v>
      </c>
      <c r="I88" s="4" t="s">
        <v>6067</v>
      </c>
      <c r="J88" s="4" t="s">
        <v>6067</v>
      </c>
      <c r="K88" s="4" t="s">
        <v>6067</v>
      </c>
      <c r="L88" s="4" t="s">
        <v>6067</v>
      </c>
      <c r="M88" s="4" t="s">
        <v>6067</v>
      </c>
      <c r="N88" s="4" t="s">
        <v>6067</v>
      </c>
      <c r="P88" s="296" t="s">
        <v>2609</v>
      </c>
      <c r="Q88" s="4" t="s">
        <v>6067</v>
      </c>
      <c r="R88" s="4" t="s">
        <v>6067</v>
      </c>
      <c r="S88" s="4" t="s">
        <v>6067</v>
      </c>
      <c r="T88" s="4" t="s">
        <v>6067</v>
      </c>
    </row>
    <row r="89" spans="1:20" x14ac:dyDescent="0.2">
      <c r="A89" s="296" t="s">
        <v>2387</v>
      </c>
      <c r="B89" s="4">
        <v>1.7739469496327089</v>
      </c>
      <c r="C89" s="4">
        <v>0</v>
      </c>
      <c r="D89" s="4">
        <v>-1.7739469496327114</v>
      </c>
      <c r="E89" s="2686" t="str">
        <f>IF(       0.251&lt;0.01,"***",IF(       0.251&lt;0.05,"**",IF(       0.251&lt;0.1,"*","NS")))</f>
        <v>NS</v>
      </c>
      <c r="G89" s="296" t="s">
        <v>2491</v>
      </c>
      <c r="H89" s="4">
        <v>1.7739469496327089</v>
      </c>
      <c r="I89" s="4">
        <v>0</v>
      </c>
      <c r="J89" s="4">
        <v>-1.7739469496327207</v>
      </c>
      <c r="K89" s="2687" t="str">
        <f>IF(       0.251&lt;0.01,"***",IF(       0.251&lt;0.05,"**",IF(       0.251&lt;0.1,"*","NS")))</f>
        <v>NS</v>
      </c>
      <c r="L89" s="4">
        <v>0</v>
      </c>
      <c r="M89" s="4">
        <v>-1.7739469496327065</v>
      </c>
      <c r="N89" s="2688" t="str">
        <f>IF(       0.251&lt;0.01,"***",IF(       0.251&lt;0.05,"**",IF(       0.251&lt;0.1,"*","NS")))</f>
        <v>NS</v>
      </c>
      <c r="P89" s="296" t="s">
        <v>2610</v>
      </c>
      <c r="Q89" s="4">
        <v>1.4558928124510671</v>
      </c>
      <c r="R89" s="4">
        <v>0</v>
      </c>
      <c r="S89" s="4">
        <v>-1.4558928124510573</v>
      </c>
      <c r="T89" s="2689" t="str">
        <f>IF(       0.256&lt;0.01,"***",IF(       0.256&lt;0.05,"**",IF(       0.256&lt;0.1,"*","NS")))</f>
        <v>NS</v>
      </c>
    </row>
    <row r="90" spans="1:20" x14ac:dyDescent="0.2">
      <c r="A90" s="296" t="s">
        <v>2388</v>
      </c>
      <c r="B90" s="4" t="s">
        <v>6067</v>
      </c>
      <c r="C90" s="4" t="s">
        <v>6067</v>
      </c>
      <c r="D90" s="4" t="s">
        <v>6067</v>
      </c>
      <c r="E90" s="4" t="s">
        <v>6067</v>
      </c>
      <c r="G90" s="296" t="s">
        <v>2492</v>
      </c>
      <c r="H90" s="4" t="s">
        <v>6067</v>
      </c>
      <c r="I90" s="4" t="s">
        <v>6067</v>
      </c>
      <c r="J90" s="4" t="s">
        <v>6067</v>
      </c>
      <c r="K90" s="4" t="s">
        <v>6067</v>
      </c>
      <c r="L90" s="4" t="s">
        <v>6067</v>
      </c>
      <c r="M90" s="4" t="s">
        <v>6067</v>
      </c>
      <c r="N90" s="4" t="s">
        <v>6067</v>
      </c>
      <c r="P90" s="296" t="s">
        <v>2611</v>
      </c>
      <c r="Q90" s="4" t="s">
        <v>6067</v>
      </c>
      <c r="R90" s="4" t="s">
        <v>6067</v>
      </c>
      <c r="S90" s="4" t="s">
        <v>6067</v>
      </c>
      <c r="T90" s="4" t="s">
        <v>6067</v>
      </c>
    </row>
    <row r="91" spans="1:20" x14ac:dyDescent="0.2">
      <c r="A91" s="296" t="s">
        <v>2389</v>
      </c>
      <c r="B91" s="4" t="s">
        <v>6067</v>
      </c>
      <c r="C91" s="4" t="s">
        <v>6067</v>
      </c>
      <c r="D91" s="4" t="s">
        <v>6067</v>
      </c>
      <c r="E91" s="4" t="s">
        <v>6067</v>
      </c>
      <c r="G91" s="296" t="s">
        <v>2493</v>
      </c>
      <c r="H91" s="4" t="s">
        <v>6067</v>
      </c>
      <c r="I91" s="4" t="s">
        <v>6067</v>
      </c>
      <c r="J91" s="4" t="s">
        <v>6067</v>
      </c>
      <c r="K91" s="4" t="s">
        <v>6067</v>
      </c>
      <c r="L91" s="4" t="s">
        <v>6067</v>
      </c>
      <c r="M91" s="4" t="s">
        <v>6067</v>
      </c>
      <c r="N91" s="4" t="s">
        <v>6067</v>
      </c>
      <c r="P91" s="296" t="s">
        <v>2612</v>
      </c>
      <c r="Q91" s="4" t="s">
        <v>6067</v>
      </c>
      <c r="R91" s="4" t="s">
        <v>6067</v>
      </c>
      <c r="S91" s="4" t="s">
        <v>6067</v>
      </c>
      <c r="T91" s="4" t="s">
        <v>6067</v>
      </c>
    </row>
    <row r="92" spans="1:20" x14ac:dyDescent="0.2">
      <c r="A92" s="296" t="s">
        <v>2390</v>
      </c>
      <c r="B92" s="4">
        <v>5.0074651615687724</v>
      </c>
      <c r="C92" s="4">
        <v>4.4657956157340752</v>
      </c>
      <c r="D92" s="4">
        <v>-0.54166954583468918</v>
      </c>
      <c r="E92" s="2690" t="str">
        <f>IF(       0.472&lt;0.01,"***",IF(       0.472&lt;0.05,"**",IF(       0.472&lt;0.1,"*","NS")))</f>
        <v>NS</v>
      </c>
      <c r="G92" s="296" t="s">
        <v>2494</v>
      </c>
      <c r="H92" s="4">
        <v>5.0074651615687724</v>
      </c>
      <c r="I92" s="4">
        <v>2.8557469958421109</v>
      </c>
      <c r="J92" s="4">
        <v>-2.1517181657266597</v>
      </c>
      <c r="K92" s="2691" t="str">
        <f>IF(       0.058&lt;0.01,"***",IF(       0.058&lt;0.05,"**",IF(       0.058&lt;0.1,"*","NS")))</f>
        <v>*</v>
      </c>
      <c r="L92" s="4">
        <v>7.7821970411301429</v>
      </c>
      <c r="M92" s="4">
        <v>2.7747318795613705</v>
      </c>
      <c r="N92" s="2692" t="str">
        <f>IF(       0.288&lt;0.01,"***",IF(       0.288&lt;0.05,"**",IF(       0.288&lt;0.1,"*","NS")))</f>
        <v>NS</v>
      </c>
      <c r="P92" s="296" t="s">
        <v>2613</v>
      </c>
      <c r="Q92" s="4">
        <v>4.3854888849889466</v>
      </c>
      <c r="R92" s="4">
        <v>7.7821970411301429</v>
      </c>
      <c r="S92" s="4">
        <v>3.3967081561411896</v>
      </c>
      <c r="T92" s="2693" t="str">
        <f>IF(       0.22&lt;0.01,"***",IF(       0.22&lt;0.05,"**",IF(       0.22&lt;0.1,"*","NS")))</f>
        <v>NS</v>
      </c>
    </row>
    <row r="93" spans="1:20" x14ac:dyDescent="0.2">
      <c r="A93" s="296" t="s">
        <v>2391</v>
      </c>
      <c r="B93" s="4" t="s">
        <v>6067</v>
      </c>
      <c r="C93" s="4" t="s">
        <v>6067</v>
      </c>
      <c r="D93" s="4" t="s">
        <v>6067</v>
      </c>
      <c r="E93" s="4" t="s">
        <v>6067</v>
      </c>
      <c r="G93" s="296" t="s">
        <v>2495</v>
      </c>
      <c r="H93" s="4" t="s">
        <v>6067</v>
      </c>
      <c r="I93" s="4" t="s">
        <v>6067</v>
      </c>
      <c r="J93" s="4" t="s">
        <v>6067</v>
      </c>
      <c r="K93" s="4" t="s">
        <v>6067</v>
      </c>
      <c r="L93" s="4" t="s">
        <v>6067</v>
      </c>
      <c r="M93" s="4" t="s">
        <v>6067</v>
      </c>
      <c r="N93" s="4" t="s">
        <v>6067</v>
      </c>
      <c r="P93" s="296" t="s">
        <v>2614</v>
      </c>
      <c r="Q93" s="4" t="s">
        <v>6067</v>
      </c>
      <c r="R93" s="4" t="s">
        <v>6067</v>
      </c>
      <c r="S93" s="4" t="s">
        <v>6067</v>
      </c>
      <c r="T93" s="4" t="s">
        <v>6067</v>
      </c>
    </row>
    <row r="94" spans="1:20" x14ac:dyDescent="0.2">
      <c r="A94" s="296" t="s">
        <v>5835</v>
      </c>
      <c r="B94" s="4">
        <v>3.284236689866598</v>
      </c>
      <c r="C94" s="4">
        <v>1.709323237319764</v>
      </c>
      <c r="D94" s="4">
        <v>-1.5749134525468265</v>
      </c>
      <c r="E94" s="2694" t="str">
        <f>IF(       0.008&lt;0.01,"***",IF(       0.008&lt;0.05,"**",IF(       0.008&lt;0.1,"*","NS")))</f>
        <v>***</v>
      </c>
      <c r="G94" s="296" t="s">
        <v>5835</v>
      </c>
      <c r="H94" s="4">
        <v>3.284236689866598</v>
      </c>
      <c r="I94" s="4">
        <v>1.7846288716801499</v>
      </c>
      <c r="J94" s="4">
        <v>-1.4996078181864287</v>
      </c>
      <c r="K94" s="2695" t="str">
        <f>IF(       0.009&lt;0.01,"***",IF(       0.009&lt;0.05,"**",IF(       0.009&lt;0.1,"*","NS")))</f>
        <v>***</v>
      </c>
      <c r="L94" s="4">
        <v>1.456024215839862</v>
      </c>
      <c r="M94" s="4">
        <v>-1.8282124740267283</v>
      </c>
      <c r="N94" s="2696" t="str">
        <f>IF(       0.04&lt;0.01,"***",IF(       0.04&lt;0.05,"**",IF(       0.04&lt;0.1,"*","NS")))</f>
        <v>**</v>
      </c>
      <c r="P94" s="296" t="s">
        <v>5835</v>
      </c>
      <c r="Q94" s="4">
        <v>2.9896558819458061</v>
      </c>
      <c r="R94" s="4">
        <v>1.456024215839862</v>
      </c>
      <c r="S94" s="4">
        <v>-1.533631666105949</v>
      </c>
      <c r="T94" s="2697" t="str">
        <f>IF(       0.062&lt;0.01,"***",IF(       0.062&lt;0.05,"**",IF(       0.062&lt;0.1,"*","NS")))</f>
        <v>*</v>
      </c>
    </row>
    <row r="96" spans="1:20" x14ac:dyDescent="0.2">
      <c r="A96" s="296" t="s">
        <v>5738</v>
      </c>
      <c r="G96" s="296" t="s">
        <v>5739</v>
      </c>
      <c r="P96" s="296" t="s">
        <v>5740</v>
      </c>
    </row>
    <row r="97" spans="1:20" s="3" customFormat="1" x14ac:dyDescent="0.2">
      <c r="A97" s="5838" t="s">
        <v>4805</v>
      </c>
      <c r="B97" s="5839" t="s">
        <v>4806</v>
      </c>
      <c r="C97" s="5840" t="s">
        <v>4807</v>
      </c>
      <c r="D97" s="5841" t="s">
        <v>4808</v>
      </c>
      <c r="E97" s="5842" t="s">
        <v>4809</v>
      </c>
      <c r="G97" s="5843" t="s">
        <v>4845</v>
      </c>
      <c r="H97" s="5844" t="s">
        <v>4846</v>
      </c>
      <c r="I97" s="5845" t="s">
        <v>4847</v>
      </c>
      <c r="J97" s="5846" t="s">
        <v>4848</v>
      </c>
      <c r="K97" s="5847" t="s">
        <v>4849</v>
      </c>
      <c r="L97" s="5848" t="s">
        <v>4885</v>
      </c>
      <c r="M97" s="5849" t="s">
        <v>4886</v>
      </c>
      <c r="N97" s="5850" t="s">
        <v>4887</v>
      </c>
      <c r="P97" s="5851" t="s">
        <v>4891</v>
      </c>
      <c r="Q97" s="5852" t="s">
        <v>4892</v>
      </c>
      <c r="R97" s="5853" t="s">
        <v>4893</v>
      </c>
      <c r="S97" s="5854" t="s">
        <v>4894</v>
      </c>
      <c r="T97" s="5855" t="s">
        <v>4895</v>
      </c>
    </row>
    <row r="98" spans="1:20" x14ac:dyDescent="0.2">
      <c r="A98" s="296" t="s">
        <v>4810</v>
      </c>
      <c r="B98" s="4">
        <v>0</v>
      </c>
      <c r="C98" s="4">
        <v>0</v>
      </c>
      <c r="D98" s="4">
        <v>0</v>
      </c>
      <c r="E98" s="2698"/>
      <c r="G98" s="296" t="s">
        <v>4850</v>
      </c>
      <c r="H98" s="4">
        <v>0</v>
      </c>
      <c r="I98" s="4">
        <v>0</v>
      </c>
      <c r="J98" s="4">
        <v>0</v>
      </c>
      <c r="K98" s="2699"/>
      <c r="L98" s="4">
        <v>0</v>
      </c>
      <c r="M98" s="4">
        <v>0</v>
      </c>
      <c r="N98" s="2700" t="str">
        <f>IF(       0.049&lt;0.01,"***",IF(       0.049&lt;0.05,"**",IF(       0.049&lt;0.1,"*","NS")))</f>
        <v>**</v>
      </c>
      <c r="P98" s="296" t="s">
        <v>4896</v>
      </c>
      <c r="Q98" s="4">
        <v>0</v>
      </c>
      <c r="R98" s="4">
        <v>0</v>
      </c>
      <c r="S98" s="4">
        <v>0</v>
      </c>
      <c r="T98" s="2701"/>
    </row>
    <row r="99" spans="1:20" x14ac:dyDescent="0.2">
      <c r="A99" s="296" t="s">
        <v>4811</v>
      </c>
      <c r="B99" s="4">
        <v>0.55270772469798235</v>
      </c>
      <c r="C99" s="4">
        <v>0.1346951194362809</v>
      </c>
      <c r="D99" s="4">
        <v>-0.41801260526169898</v>
      </c>
      <c r="E99" s="2702" t="str">
        <f>IF(       0.065&lt;0.01,"***",IF(       0.065&lt;0.05,"**",IF(       0.065&lt;0.1,"*","NS")))</f>
        <v>*</v>
      </c>
      <c r="G99" s="296" t="s">
        <v>4851</v>
      </c>
      <c r="H99" s="4">
        <v>0.55270772469798235</v>
      </c>
      <c r="I99" s="4">
        <v>0.16292108505075201</v>
      </c>
      <c r="J99" s="4">
        <v>-0.38978663964722848</v>
      </c>
      <c r="K99" s="2703" t="str">
        <f>IF(       0.106&lt;0.01,"***",IF(       0.106&lt;0.05,"**",IF(       0.106&lt;0.1,"*","NS")))</f>
        <v>NS</v>
      </c>
      <c r="L99" s="4">
        <v>0</v>
      </c>
      <c r="M99" s="4">
        <v>-0.55270772469798923</v>
      </c>
      <c r="N99" s="2704"/>
      <c r="P99" s="296" t="s">
        <v>4897</v>
      </c>
      <c r="Q99" s="4">
        <v>0.47421133660566112</v>
      </c>
      <c r="R99" s="4">
        <v>0</v>
      </c>
      <c r="S99" s="4">
        <v>-0.47421133660565973</v>
      </c>
      <c r="T99" s="2705" t="str">
        <f>IF(       0.006&lt;0.01,"***",IF(       0.006&lt;0.05,"**",IF(       0.006&lt;0.1,"*","NS")))</f>
        <v>***</v>
      </c>
    </row>
    <row r="100" spans="1:20" x14ac:dyDescent="0.2">
      <c r="A100" s="296" t="s">
        <v>4812</v>
      </c>
      <c r="B100" s="4">
        <v>0.29195633672592808</v>
      </c>
      <c r="C100" s="4">
        <v>0</v>
      </c>
      <c r="D100" s="4">
        <v>-0.29195633672592375</v>
      </c>
      <c r="E100" s="2706" t="str">
        <f>IF(       0.117&lt;0.01,"***",IF(       0.117&lt;0.05,"**",IF(       0.117&lt;0.1,"*","NS")))</f>
        <v>NS</v>
      </c>
      <c r="G100" s="296" t="s">
        <v>4852</v>
      </c>
      <c r="H100" s="4">
        <v>0.29195633672592808</v>
      </c>
      <c r="I100" s="4">
        <v>0</v>
      </c>
      <c r="J100" s="4">
        <v>-0.2919563367259278</v>
      </c>
      <c r="K100" s="2707" t="str">
        <f>IF(       0.117&lt;0.01,"***",IF(       0.117&lt;0.05,"**",IF(       0.117&lt;0.1,"*","NS")))</f>
        <v>NS</v>
      </c>
      <c r="L100" s="4">
        <v>0</v>
      </c>
      <c r="M100" s="4">
        <v>-0.29195633672592713</v>
      </c>
      <c r="N100" s="2708" t="str">
        <f>IF(       0.007&lt;0.01,"***",IF(       0.007&lt;0.05,"**",IF(       0.007&lt;0.1,"*","NS")))</f>
        <v>***</v>
      </c>
      <c r="P100" s="296" t="s">
        <v>4898</v>
      </c>
      <c r="Q100" s="4">
        <v>0.24750825767429199</v>
      </c>
      <c r="R100" s="4">
        <v>0</v>
      </c>
      <c r="S100" s="4">
        <v>-0.24750825767429221</v>
      </c>
      <c r="T100" s="2709" t="str">
        <f>IF(       0.117&lt;0.01,"***",IF(       0.117&lt;0.05,"**",IF(       0.117&lt;0.1,"*","NS")))</f>
        <v>NS</v>
      </c>
    </row>
    <row r="101" spans="1:20" x14ac:dyDescent="0.2">
      <c r="A101" s="296" t="s">
        <v>4813</v>
      </c>
      <c r="B101" s="4">
        <v>0.10905748097767159</v>
      </c>
      <c r="C101" s="4">
        <v>0</v>
      </c>
      <c r="D101" s="4">
        <v>-0.10905748097767022</v>
      </c>
      <c r="E101" s="2710" t="str">
        <f>IF(       0.324&lt;0.01,"***",IF(       0.324&lt;0.05,"**",IF(       0.324&lt;0.1,"*","NS")))</f>
        <v>NS</v>
      </c>
      <c r="G101" s="296" t="s">
        <v>4853</v>
      </c>
      <c r="H101" s="4">
        <v>0.10905748097767159</v>
      </c>
      <c r="I101" s="4">
        <v>0</v>
      </c>
      <c r="J101" s="4">
        <v>-0.10905748097767176</v>
      </c>
      <c r="K101" s="2711" t="str">
        <f>IF(       0.324&lt;0.01,"***",IF(       0.324&lt;0.05,"**",IF(       0.324&lt;0.1,"*","NS")))</f>
        <v>NS</v>
      </c>
      <c r="L101" s="4">
        <v>0</v>
      </c>
      <c r="M101" s="4">
        <v>-0.10905748097767087</v>
      </c>
      <c r="N101" s="2712" t="str">
        <f>IF(       0.117&lt;0.01,"***",IF(       0.117&lt;0.05,"**",IF(       0.117&lt;0.1,"*","NS")))</f>
        <v>NS</v>
      </c>
      <c r="P101" s="296" t="s">
        <v>4899</v>
      </c>
      <c r="Q101" s="4">
        <v>8.5033413473129899E-2</v>
      </c>
      <c r="R101" s="4">
        <v>0</v>
      </c>
      <c r="S101" s="4">
        <v>-8.5033413473130592E-2</v>
      </c>
      <c r="T101" s="2713" t="str">
        <f>IF(       0.326&lt;0.01,"***",IF(       0.326&lt;0.05,"**",IF(       0.326&lt;0.1,"*","NS")))</f>
        <v>NS</v>
      </c>
    </row>
    <row r="102" spans="1:20" x14ac:dyDescent="0.2">
      <c r="A102" s="296" t="s">
        <v>4814</v>
      </c>
      <c r="B102" s="4" t="s">
        <v>6067</v>
      </c>
      <c r="C102" s="4" t="s">
        <v>6067</v>
      </c>
      <c r="D102" s="4" t="s">
        <v>6067</v>
      </c>
      <c r="E102" s="4" t="s">
        <v>6067</v>
      </c>
      <c r="G102" s="296" t="s">
        <v>4854</v>
      </c>
      <c r="H102" s="4" t="s">
        <v>6067</v>
      </c>
      <c r="I102" s="4" t="s">
        <v>6067</v>
      </c>
      <c r="J102" s="4" t="s">
        <v>6067</v>
      </c>
      <c r="K102" s="4" t="s">
        <v>6067</v>
      </c>
      <c r="L102" s="4" t="s">
        <v>6067</v>
      </c>
      <c r="M102" s="4" t="s">
        <v>6067</v>
      </c>
      <c r="N102" s="4" t="s">
        <v>6067</v>
      </c>
      <c r="P102" s="296" t="s">
        <v>4900</v>
      </c>
      <c r="Q102" s="4" t="s">
        <v>6067</v>
      </c>
      <c r="R102" s="4" t="s">
        <v>6067</v>
      </c>
      <c r="S102" s="4" t="s">
        <v>6067</v>
      </c>
      <c r="T102" s="4" t="s">
        <v>6067</v>
      </c>
    </row>
    <row r="103" spans="1:20" x14ac:dyDescent="0.2">
      <c r="A103" s="296" t="s">
        <v>4815</v>
      </c>
      <c r="B103" s="4">
        <v>0.54499789538614352</v>
      </c>
      <c r="C103" s="4">
        <v>0.1677205185512467</v>
      </c>
      <c r="D103" s="4">
        <v>-0.37727737683488594</v>
      </c>
      <c r="E103" s="2714" t="str">
        <f>IF(       0.347&lt;0.01,"***",IF(       0.347&lt;0.05,"**",IF(       0.347&lt;0.1,"*","NS")))</f>
        <v>NS</v>
      </c>
      <c r="G103" s="296" t="s">
        <v>4855</v>
      </c>
      <c r="H103" s="4">
        <v>0.54499789538614352</v>
      </c>
      <c r="I103" s="4">
        <v>0.20122445679661319</v>
      </c>
      <c r="J103" s="4">
        <v>-0.34377343858953052</v>
      </c>
      <c r="K103" s="2715" t="str">
        <f>IF(       0.409&lt;0.01,"***",IF(       0.409&lt;0.05,"**",IF(       0.409&lt;0.1,"*","NS")))</f>
        <v>NS</v>
      </c>
      <c r="L103" s="4">
        <v>0</v>
      </c>
      <c r="M103" s="4">
        <v>-0.54499789538614163</v>
      </c>
      <c r="N103" s="2716" t="str">
        <f>IF(       0.28&lt;0.01,"***",IF(       0.28&lt;0.05,"**",IF(       0.28&lt;0.1,"*","NS")))</f>
        <v>NS</v>
      </c>
      <c r="P103" s="296" t="s">
        <v>4901</v>
      </c>
      <c r="Q103" s="4">
        <v>0.47521246803079309</v>
      </c>
      <c r="R103" s="4">
        <v>0</v>
      </c>
      <c r="S103" s="4">
        <v>-0.47521246803079237</v>
      </c>
      <c r="T103" s="2717" t="str">
        <f>IF(       0.108&lt;0.01,"***",IF(       0.108&lt;0.05,"**",IF(       0.108&lt;0.1,"*","NS")))</f>
        <v>NS</v>
      </c>
    </row>
    <row r="104" spans="1:20" x14ac:dyDescent="0.2">
      <c r="A104" s="296" t="s">
        <v>4816</v>
      </c>
      <c r="B104" s="4">
        <v>5.6722705501849928</v>
      </c>
      <c r="C104" s="4">
        <v>5.6799889242666506</v>
      </c>
      <c r="D104" s="4">
        <v>7.7183740816607017E-3</v>
      </c>
      <c r="E104" s="2718" t="str">
        <f>IF(       0.996&lt;0.01,"***",IF(       0.996&lt;0.05,"**",IF(       0.996&lt;0.1,"*","NS")))</f>
        <v>NS</v>
      </c>
      <c r="G104" s="296" t="s">
        <v>4856</v>
      </c>
      <c r="H104" s="4">
        <v>5.6722705501849928</v>
      </c>
      <c r="I104" s="4">
        <v>5.6250517696068503</v>
      </c>
      <c r="J104" s="4">
        <v>-4.7218780578153825E-2</v>
      </c>
      <c r="K104" s="2719" t="str">
        <f>IF(       0.979&lt;0.01,"***",IF(       0.979&lt;0.05,"**",IF(       0.979&lt;0.1,"*","NS")))</f>
        <v>NS</v>
      </c>
      <c r="L104" s="4">
        <v>5.9018985554259569</v>
      </c>
      <c r="M104" s="4">
        <v>0.2296280052409598</v>
      </c>
      <c r="N104" s="2720" t="str">
        <f>IF(       0.136&lt;0.01,"***",IF(       0.136&lt;0.05,"**",IF(       0.136&lt;0.1,"*","NS")))</f>
        <v>NS</v>
      </c>
      <c r="P104" s="296" t="s">
        <v>4902</v>
      </c>
      <c r="Q104" s="4">
        <v>5.6673500891483881</v>
      </c>
      <c r="R104" s="4">
        <v>5.9018985554259569</v>
      </c>
      <c r="S104" s="4">
        <v>0.2345484662775616</v>
      </c>
      <c r="T104" s="2721" t="str">
        <f>IF(       0.931&lt;0.01,"***",IF(       0.931&lt;0.05,"**",IF(       0.931&lt;0.1,"*","NS")))</f>
        <v>NS</v>
      </c>
    </row>
    <row r="105" spans="1:20" x14ac:dyDescent="0.2">
      <c r="A105" s="296" t="s">
        <v>4817</v>
      </c>
      <c r="B105" s="4" t="s">
        <v>6067</v>
      </c>
      <c r="C105" s="4" t="s">
        <v>6067</v>
      </c>
      <c r="D105" s="4" t="s">
        <v>6067</v>
      </c>
      <c r="E105" s="4" t="s">
        <v>6067</v>
      </c>
      <c r="G105" s="296" t="s">
        <v>4857</v>
      </c>
      <c r="H105" s="4" t="s">
        <v>6067</v>
      </c>
      <c r="I105" s="4" t="s">
        <v>6067</v>
      </c>
      <c r="J105" s="4" t="s">
        <v>6067</v>
      </c>
      <c r="K105" s="4" t="s">
        <v>6067</v>
      </c>
      <c r="L105" s="4" t="s">
        <v>6067</v>
      </c>
      <c r="M105" s="4" t="s">
        <v>6067</v>
      </c>
      <c r="N105" s="4" t="s">
        <v>6067</v>
      </c>
      <c r="P105" s="296" t="s">
        <v>4903</v>
      </c>
      <c r="Q105" s="4" t="s">
        <v>6067</v>
      </c>
      <c r="R105" s="4" t="s">
        <v>6067</v>
      </c>
      <c r="S105" s="4" t="s">
        <v>6067</v>
      </c>
      <c r="T105" s="4" t="s">
        <v>6067</v>
      </c>
    </row>
    <row r="106" spans="1:20" x14ac:dyDescent="0.2">
      <c r="A106" s="296" t="s">
        <v>4818</v>
      </c>
      <c r="B106" s="4">
        <v>0.48485163312621438</v>
      </c>
      <c r="C106" s="4">
        <v>0</v>
      </c>
      <c r="D106" s="4">
        <v>-0.4848516331262222</v>
      </c>
      <c r="E106" s="2722" t="str">
        <f>IF(       0.141&lt;0.01,"***",IF(       0.141&lt;0.05,"**",IF(       0.141&lt;0.1,"*","NS")))</f>
        <v>NS</v>
      </c>
      <c r="G106" s="296" t="s">
        <v>4858</v>
      </c>
      <c r="H106" s="4">
        <v>0.48485163312621438</v>
      </c>
      <c r="I106" s="4">
        <v>0</v>
      </c>
      <c r="J106" s="4">
        <v>-0.48485163312621243</v>
      </c>
      <c r="K106" s="2723" t="str">
        <f>IF(       0.141&lt;0.01,"***",IF(       0.141&lt;0.05,"**",IF(       0.141&lt;0.1,"*","NS")))</f>
        <v>NS</v>
      </c>
      <c r="L106" s="4">
        <v>0</v>
      </c>
      <c r="M106" s="4">
        <v>-0.48485163312621321</v>
      </c>
      <c r="N106" s="2724"/>
      <c r="P106" s="296" t="s">
        <v>4904</v>
      </c>
      <c r="Q106" s="4">
        <v>0.36780748583116168</v>
      </c>
      <c r="R106" s="4">
        <v>0</v>
      </c>
      <c r="S106" s="4">
        <v>-0.36780748583115558</v>
      </c>
      <c r="T106" s="2725" t="str">
        <f>IF(       0.143&lt;0.01,"***",IF(       0.143&lt;0.05,"**",IF(       0.143&lt;0.1,"*","NS")))</f>
        <v>NS</v>
      </c>
    </row>
    <row r="107" spans="1:20" x14ac:dyDescent="0.2">
      <c r="A107" s="296" t="s">
        <v>4819</v>
      </c>
      <c r="B107" s="4">
        <v>0.43120964340188572</v>
      </c>
      <c r="C107" s="4">
        <v>0.1518577629743259</v>
      </c>
      <c r="D107" s="4">
        <v>-0.27935188042755849</v>
      </c>
      <c r="E107" s="2726" t="str">
        <f>IF(       0.173&lt;0.01,"***",IF(       0.173&lt;0.05,"**",IF(       0.173&lt;0.1,"*","NS")))</f>
        <v>NS</v>
      </c>
      <c r="G107" s="296" t="s">
        <v>4859</v>
      </c>
      <c r="H107" s="4">
        <v>0.43120964340188572</v>
      </c>
      <c r="I107" s="4">
        <v>0.17773550303814059</v>
      </c>
      <c r="J107" s="4">
        <v>-0.25347414036374522</v>
      </c>
      <c r="K107" s="2727" t="str">
        <f>IF(       0.193&lt;0.01,"***",IF(       0.193&lt;0.05,"**",IF(       0.193&lt;0.1,"*","NS")))</f>
        <v>NS</v>
      </c>
      <c r="L107" s="4">
        <v>0</v>
      </c>
      <c r="M107" s="4">
        <v>-0.43120964340188062</v>
      </c>
      <c r="N107" s="2728" t="str">
        <f>IF(       0.141&lt;0.01,"***",IF(       0.141&lt;0.05,"**",IF(       0.141&lt;0.1,"*","NS")))</f>
        <v>NS</v>
      </c>
      <c r="P107" s="296" t="s">
        <v>4905</v>
      </c>
      <c r="Q107" s="4">
        <v>0.35011281780307918</v>
      </c>
      <c r="R107" s="4">
        <v>0</v>
      </c>
      <c r="S107" s="4">
        <v>-0.35011281780307563</v>
      </c>
      <c r="T107" s="2729" t="str">
        <f>IF(       0.173&lt;0.01,"***",IF(       0.173&lt;0.05,"**",IF(       0.173&lt;0.1,"*","NS")))</f>
        <v>NS</v>
      </c>
    </row>
    <row r="108" spans="1:20" x14ac:dyDescent="0.2">
      <c r="A108" s="296" t="s">
        <v>4820</v>
      </c>
      <c r="B108" s="4">
        <v>0.58533718834750781</v>
      </c>
      <c r="C108" s="4">
        <v>0.29466669197152029</v>
      </c>
      <c r="D108" s="4">
        <v>-0.29067049637599229</v>
      </c>
      <c r="E108" s="2730" t="str">
        <f>IF(       0.626&lt;0.01,"***",IF(       0.626&lt;0.05,"**",IF(       0.626&lt;0.1,"*","NS")))</f>
        <v>NS</v>
      </c>
      <c r="G108" s="296" t="s">
        <v>4860</v>
      </c>
      <c r="H108" s="4">
        <v>0.58533718834750781</v>
      </c>
      <c r="I108" s="4">
        <v>0.36772461717300609</v>
      </c>
      <c r="J108" s="4">
        <v>-0.21761257117450578</v>
      </c>
      <c r="K108" s="2731" t="str">
        <f>IF(       0.734&lt;0.01,"***",IF(       0.734&lt;0.05,"**",IF(       0.734&lt;0.1,"*","NS")))</f>
        <v>NS</v>
      </c>
      <c r="L108" s="4">
        <v>0</v>
      </c>
      <c r="M108" s="4">
        <v>-0.58533718834749993</v>
      </c>
      <c r="N108" s="2732" t="str">
        <f>IF(       0.161&lt;0.01,"***",IF(       0.161&lt;0.05,"**",IF(       0.161&lt;0.1,"*","NS")))</f>
        <v>NS</v>
      </c>
      <c r="P108" s="296" t="s">
        <v>4906</v>
      </c>
      <c r="Q108" s="4">
        <v>0.5519149271941467</v>
      </c>
      <c r="R108" s="4">
        <v>0</v>
      </c>
      <c r="S108" s="4">
        <v>-0.55191492719415225</v>
      </c>
      <c r="T108" s="2733" t="str">
        <f>IF(       0.206&lt;0.01,"***",IF(       0.206&lt;0.05,"**",IF(       0.206&lt;0.1,"*","NS")))</f>
        <v>NS</v>
      </c>
    </row>
    <row r="109" spans="1:20" x14ac:dyDescent="0.2">
      <c r="A109" s="296" t="s">
        <v>4821</v>
      </c>
      <c r="B109" s="4">
        <v>3.3061016564312209</v>
      </c>
      <c r="C109" s="4">
        <v>1.940585230015428</v>
      </c>
      <c r="D109" s="4">
        <v>-1.3655164264157811</v>
      </c>
      <c r="E109" s="2734" t="str">
        <f>IF(       0.154&lt;0.01,"***",IF(       0.154&lt;0.05,"**",IF(       0.154&lt;0.1,"*","NS")))</f>
        <v>NS</v>
      </c>
      <c r="G109" s="296" t="s">
        <v>4861</v>
      </c>
      <c r="H109" s="4">
        <v>3.3061016564312209</v>
      </c>
      <c r="I109" s="4">
        <v>2.3023801891254458</v>
      </c>
      <c r="J109" s="4">
        <v>-1.0037214673057757</v>
      </c>
      <c r="K109" s="2735" t="str">
        <f>IF(       0.282&lt;0.01,"***",IF(       0.282&lt;0.05,"**",IF(       0.282&lt;0.1,"*","NS")))</f>
        <v>NS</v>
      </c>
      <c r="L109" s="4">
        <v>0</v>
      </c>
      <c r="M109" s="4">
        <v>-3.3061016564312036</v>
      </c>
      <c r="N109" s="2736" t="str">
        <f>IF(       0.252&lt;0.01,"***",IF(       0.252&lt;0.05,"**",IF(       0.252&lt;0.1,"*","NS")))</f>
        <v>NS</v>
      </c>
      <c r="P109" s="296" t="s">
        <v>4907</v>
      </c>
      <c r="Q109" s="4">
        <v>3.156785729747186</v>
      </c>
      <c r="R109" s="4">
        <v>0</v>
      </c>
      <c r="S109" s="4">
        <v>-3.1567857297472188</v>
      </c>
      <c r="T109" s="2737" t="str">
        <f>IF(       0.019&lt;0.01,"***",IF(       0.019&lt;0.05,"**",IF(       0.019&lt;0.1,"*","NS")))</f>
        <v>**</v>
      </c>
    </row>
    <row r="110" spans="1:20" x14ac:dyDescent="0.2">
      <c r="A110" s="296" t="s">
        <v>4822</v>
      </c>
      <c r="B110" s="4">
        <v>0.26513849460903682</v>
      </c>
      <c r="C110" s="4">
        <v>0</v>
      </c>
      <c r="D110" s="4">
        <v>-0.26513849460903599</v>
      </c>
      <c r="E110" s="2738" t="str">
        <f>IF(       0.192&lt;0.01,"***",IF(       0.192&lt;0.05,"**",IF(       0.192&lt;0.1,"*","NS")))</f>
        <v>NS</v>
      </c>
      <c r="G110" s="296" t="s">
        <v>4862</v>
      </c>
      <c r="H110" s="4">
        <v>0.26513849460903682</v>
      </c>
      <c r="I110" s="4">
        <v>0</v>
      </c>
      <c r="J110" s="4">
        <v>-0.26513849460903316</v>
      </c>
      <c r="K110" s="2739" t="str">
        <f>IF(       0.192&lt;0.01,"***",IF(       0.192&lt;0.05,"**",IF(       0.192&lt;0.1,"*","NS")))</f>
        <v>NS</v>
      </c>
      <c r="L110" s="4">
        <v>0</v>
      </c>
      <c r="M110" s="4">
        <v>-0.26513849460903616</v>
      </c>
      <c r="N110" s="2740" t="str">
        <f>IF(       0.021&lt;0.01,"***",IF(       0.021&lt;0.05,"**",IF(       0.021&lt;0.1,"*","NS")))</f>
        <v>**</v>
      </c>
      <c r="P110" s="296" t="s">
        <v>4908</v>
      </c>
      <c r="Q110" s="4">
        <v>0.2287253791069512</v>
      </c>
      <c r="R110" s="4">
        <v>0</v>
      </c>
      <c r="S110" s="4">
        <v>-0.22872537910695109</v>
      </c>
      <c r="T110" s="2741" t="str">
        <f>IF(       0.193&lt;0.01,"***",IF(       0.193&lt;0.05,"**",IF(       0.193&lt;0.1,"*","NS")))</f>
        <v>NS</v>
      </c>
    </row>
    <row r="111" spans="1:20" x14ac:dyDescent="0.2">
      <c r="A111" s="296" t="s">
        <v>4823</v>
      </c>
      <c r="B111" s="4">
        <v>1.03939974163452</v>
      </c>
      <c r="C111" s="4">
        <v>0.78704702179267094</v>
      </c>
      <c r="D111" s="4">
        <v>-0.25235271984185415</v>
      </c>
      <c r="E111" s="2742" t="str">
        <f>IF(       0.151&lt;0.01,"***",IF(       0.151&lt;0.05,"**",IF(       0.151&lt;0.1,"*","NS")))</f>
        <v>NS</v>
      </c>
      <c r="G111" s="296" t="s">
        <v>4863</v>
      </c>
      <c r="H111" s="4">
        <v>1.03939974163452</v>
      </c>
      <c r="I111" s="4">
        <v>0.49544073240944841</v>
      </c>
      <c r="J111" s="4">
        <v>-0.54395900922506979</v>
      </c>
      <c r="K111" s="2743" t="str">
        <f>IF(       0.112&lt;0.01,"***",IF(       0.112&lt;0.05,"**",IF(       0.112&lt;0.1,"*","NS")))</f>
        <v>NS</v>
      </c>
      <c r="L111" s="4">
        <v>1.912999329889826</v>
      </c>
      <c r="M111" s="4">
        <v>0.87359958825530615</v>
      </c>
      <c r="N111" s="2744" t="str">
        <f>IF(       0.192&lt;0.01,"***",IF(       0.192&lt;0.05,"**",IF(       0.192&lt;0.1,"*","NS")))</f>
        <v>NS</v>
      </c>
      <c r="P111" s="296" t="s">
        <v>4909</v>
      </c>
      <c r="Q111" s="4">
        <v>0.89593225549824873</v>
      </c>
      <c r="R111" s="4">
        <v>1.912999329889826</v>
      </c>
      <c r="S111" s="4">
        <v>1.0170670743915637</v>
      </c>
      <c r="T111" s="2745" t="str">
        <f>IF(       0.401&lt;0.01,"***",IF(       0.401&lt;0.05,"**",IF(       0.401&lt;0.1,"*","NS")))</f>
        <v>NS</v>
      </c>
    </row>
    <row r="112" spans="1:20" x14ac:dyDescent="0.2">
      <c r="A112" s="296" t="s">
        <v>4824</v>
      </c>
      <c r="B112" s="4">
        <v>7.0353791901677204E-2</v>
      </c>
      <c r="C112" s="4">
        <v>0</v>
      </c>
      <c r="D112" s="4">
        <v>-7.0353791901677051E-2</v>
      </c>
      <c r="E112" s="2746" t="str">
        <f>IF(       0.329&lt;0.01,"***",IF(       0.329&lt;0.05,"**",IF(       0.329&lt;0.1,"*","NS")))</f>
        <v>NS</v>
      </c>
      <c r="G112" s="296" t="s">
        <v>4864</v>
      </c>
      <c r="H112" s="4">
        <v>7.0353791901677204E-2</v>
      </c>
      <c r="I112" s="4">
        <v>0</v>
      </c>
      <c r="J112" s="4">
        <v>-7.0353791901676899E-2</v>
      </c>
      <c r="K112" s="2747" t="str">
        <f>IF(       0.329&lt;0.01,"***",IF(       0.329&lt;0.05,"**",IF(       0.329&lt;0.1,"*","NS")))</f>
        <v>NS</v>
      </c>
      <c r="L112" s="4">
        <v>0</v>
      </c>
      <c r="M112" s="4">
        <v>-7.0353791901677329E-2</v>
      </c>
      <c r="N112" s="2748" t="str">
        <f>IF(       0.444&lt;0.01,"***",IF(       0.444&lt;0.05,"**",IF(       0.444&lt;0.1,"*","NS")))</f>
        <v>NS</v>
      </c>
      <c r="P112" s="296" t="s">
        <v>4910</v>
      </c>
      <c r="Q112" s="4">
        <v>5.7288422175120403E-2</v>
      </c>
      <c r="R112" s="4">
        <v>0</v>
      </c>
      <c r="S112" s="4">
        <v>-5.7288422175121201E-2</v>
      </c>
      <c r="T112" s="2749" t="str">
        <f>IF(       0.33&lt;0.01,"***",IF(       0.33&lt;0.05,"**",IF(       0.33&lt;0.1,"*","NS")))</f>
        <v>NS</v>
      </c>
    </row>
    <row r="113" spans="1:20" x14ac:dyDescent="0.2">
      <c r="A113" s="296" t="s">
        <v>5835</v>
      </c>
      <c r="B113" s="4">
        <v>1.1688618628918279</v>
      </c>
      <c r="C113" s="4">
        <v>0.54314402002349804</v>
      </c>
      <c r="D113" s="4">
        <v>-0.62571784286834597</v>
      </c>
      <c r="E113" s="2750" t="str">
        <f>IF(       0.002&lt;0.01,"***",IF(       0.002&lt;0.05,"**",IF(       0.002&lt;0.1,"*","NS")))</f>
        <v>***</v>
      </c>
      <c r="G113" s="296" t="s">
        <v>5835</v>
      </c>
      <c r="H113" s="4">
        <v>1.1688618628918279</v>
      </c>
      <c r="I113" s="4">
        <v>0.56029151606773431</v>
      </c>
      <c r="J113" s="4">
        <v>-0.60857034682410061</v>
      </c>
      <c r="K113" s="2751" t="str">
        <f>IF(       0.002&lt;0.01,"***",IF(       0.002&lt;0.05,"**",IF(       0.002&lt;0.1,"*","NS")))</f>
        <v>***</v>
      </c>
      <c r="L113" s="4">
        <v>0.4591028599857313</v>
      </c>
      <c r="M113" s="4">
        <v>-0.70975900290612259</v>
      </c>
      <c r="N113" s="2752" t="str">
        <f>IF(       0.026&lt;0.01,"***",IF(       0.026&lt;0.05,"**",IF(       0.026&lt;0.1,"*","NS")))</f>
        <v>**</v>
      </c>
      <c r="P113" s="296" t="s">
        <v>5835</v>
      </c>
      <c r="Q113" s="4">
        <v>1.0523876073687499</v>
      </c>
      <c r="R113" s="4">
        <v>0.4591028599857313</v>
      </c>
      <c r="S113" s="4">
        <v>-0.59328474738303827</v>
      </c>
      <c r="T113" s="2753" t="str">
        <f>IF(       0.045&lt;0.01,"***",IF(       0.045&lt;0.05,"**",IF(       0.045&lt;0.1,"*","NS")))</f>
        <v>**</v>
      </c>
    </row>
    <row r="115" spans="1:20" x14ac:dyDescent="0.2">
      <c r="A115" s="296" t="s">
        <v>5777</v>
      </c>
      <c r="G115" s="296" t="s">
        <v>5778</v>
      </c>
      <c r="P115" s="296" t="s">
        <v>5779</v>
      </c>
    </row>
    <row r="116" spans="1:20" s="3" customFormat="1" x14ac:dyDescent="0.2">
      <c r="A116" s="5856" t="s">
        <v>4825</v>
      </c>
      <c r="B116" s="5857" t="s">
        <v>4826</v>
      </c>
      <c r="C116" s="5858" t="s">
        <v>4827</v>
      </c>
      <c r="D116" s="5859" t="s">
        <v>4828</v>
      </c>
      <c r="E116" s="5860" t="s">
        <v>4829</v>
      </c>
      <c r="G116" s="5861" t="s">
        <v>4865</v>
      </c>
      <c r="H116" s="5862" t="s">
        <v>4866</v>
      </c>
      <c r="I116" s="5863" t="s">
        <v>4867</v>
      </c>
      <c r="J116" s="5864" t="s">
        <v>4868</v>
      </c>
      <c r="K116" s="5865" t="s">
        <v>4869</v>
      </c>
      <c r="L116" s="5866" t="s">
        <v>4888</v>
      </c>
      <c r="M116" s="5867" t="s">
        <v>4889</v>
      </c>
      <c r="N116" s="5868" t="s">
        <v>4890</v>
      </c>
      <c r="P116" s="5869" t="s">
        <v>4911</v>
      </c>
      <c r="Q116" s="5870" t="s">
        <v>4912</v>
      </c>
      <c r="R116" s="5871" t="s">
        <v>4913</v>
      </c>
      <c r="S116" s="5872" t="s">
        <v>4914</v>
      </c>
      <c r="T116" s="5873" t="s">
        <v>4915</v>
      </c>
    </row>
    <row r="117" spans="1:20" x14ac:dyDescent="0.2">
      <c r="A117" s="296" t="s">
        <v>4830</v>
      </c>
      <c r="B117" s="4">
        <v>0</v>
      </c>
      <c r="C117" s="4">
        <v>0.32688085483522389</v>
      </c>
      <c r="D117" s="4">
        <v>0.32688085483522433</v>
      </c>
      <c r="E117" s="2754"/>
      <c r="G117" s="296" t="s">
        <v>4870</v>
      </c>
      <c r="H117" s="4">
        <v>0</v>
      </c>
      <c r="I117" s="4">
        <v>0.48703675485233261</v>
      </c>
      <c r="J117" s="4">
        <v>0.48703675485233205</v>
      </c>
      <c r="K117" s="2755" t="str">
        <f>IF(       0.314&lt;0.01,"***",IF(       0.314&lt;0.05,"**",IF(       0.314&lt;0.1,"*","NS")))</f>
        <v>NS</v>
      </c>
      <c r="L117" s="4">
        <v>0</v>
      </c>
      <c r="M117" s="4">
        <v>0</v>
      </c>
      <c r="N117" s="2756"/>
      <c r="P117" s="296" t="s">
        <v>4916</v>
      </c>
      <c r="Q117" s="4">
        <v>0.31907961491719378</v>
      </c>
      <c r="R117" s="4">
        <v>0</v>
      </c>
      <c r="S117" s="4">
        <v>-0.31907961491719405</v>
      </c>
      <c r="T117" s="2757" t="str">
        <f>IF(       0.317&lt;0.01,"***",IF(       0.317&lt;0.05,"**",IF(       0.317&lt;0.1,"*","NS")))</f>
        <v>NS</v>
      </c>
    </row>
    <row r="118" spans="1:20" x14ac:dyDescent="0.2">
      <c r="A118" s="296" t="s">
        <v>4831</v>
      </c>
      <c r="B118" s="4">
        <v>0.92450635598251485</v>
      </c>
      <c r="C118" s="4">
        <v>0.11904550199544479</v>
      </c>
      <c r="D118" s="4">
        <v>-0.80546085398706702</v>
      </c>
      <c r="E118" s="2758" t="str">
        <f>IF(       0.236&lt;0.01,"***",IF(       0.236&lt;0.05,"**",IF(       0.236&lt;0.1,"*","NS")))</f>
        <v>NS</v>
      </c>
      <c r="G118" s="296" t="s">
        <v>4871</v>
      </c>
      <c r="H118" s="4">
        <v>0.92450635598251485</v>
      </c>
      <c r="I118" s="4">
        <v>0.18924394946780421</v>
      </c>
      <c r="J118" s="4">
        <v>-0.73526240651470787</v>
      </c>
      <c r="K118" s="2759" t="str">
        <f>IF(       0.268&lt;0.01,"***",IF(       0.268&lt;0.05,"**",IF(       0.268&lt;0.1,"*","NS")))</f>
        <v>NS</v>
      </c>
      <c r="L118" s="4">
        <v>0</v>
      </c>
      <c r="M118" s="4">
        <v>-0.92450635598251618</v>
      </c>
      <c r="N118" s="2760" t="str">
        <f>IF(       0.201&lt;0.01,"***",IF(       0.201&lt;0.05,"**",IF(       0.201&lt;0.1,"*","NS")))</f>
        <v>NS</v>
      </c>
      <c r="P118" s="296" t="s">
        <v>4917</v>
      </c>
      <c r="Q118" s="4">
        <v>0.4829330431753161</v>
      </c>
      <c r="R118" s="4">
        <v>0</v>
      </c>
      <c r="S118" s="4">
        <v>-0.48293304317531771</v>
      </c>
      <c r="T118" s="2761" t="str">
        <f>IF(       0.172&lt;0.01,"***",IF(       0.172&lt;0.05,"**",IF(       0.172&lt;0.1,"*","NS")))</f>
        <v>NS</v>
      </c>
    </row>
    <row r="119" spans="1:20" x14ac:dyDescent="0.2">
      <c r="A119" s="296" t="s">
        <v>4832</v>
      </c>
      <c r="B119" s="4">
        <v>0.55940289070467997</v>
      </c>
      <c r="C119" s="4">
        <v>0</v>
      </c>
      <c r="D119" s="4">
        <v>-0.55940289070468052</v>
      </c>
      <c r="E119" s="2762" t="str">
        <f>IF(       0.331&lt;0.01,"***",IF(       0.331&lt;0.05,"**",IF(       0.331&lt;0.1,"*","NS")))</f>
        <v>NS</v>
      </c>
      <c r="G119" s="296" t="s">
        <v>4872</v>
      </c>
      <c r="H119" s="4">
        <v>0.55940289070467997</v>
      </c>
      <c r="I119" s="4">
        <v>0</v>
      </c>
      <c r="J119" s="4">
        <v>-0.55940289070468108</v>
      </c>
      <c r="K119" s="2763" t="str">
        <f>IF(       0.331&lt;0.01,"***",IF(       0.331&lt;0.05,"**",IF(       0.331&lt;0.1,"*","NS")))</f>
        <v>NS</v>
      </c>
      <c r="L119" s="4">
        <v>0</v>
      </c>
      <c r="M119" s="4">
        <v>-0.55940289070467952</v>
      </c>
      <c r="N119" s="2764" t="str">
        <f>IF(       0.331&lt;0.01,"***",IF(       0.331&lt;0.05,"**",IF(       0.331&lt;0.1,"*","NS")))</f>
        <v>NS</v>
      </c>
      <c r="P119" s="296" t="s">
        <v>4918</v>
      </c>
      <c r="Q119" s="4">
        <v>0.29161462087355339</v>
      </c>
      <c r="R119" s="4">
        <v>0</v>
      </c>
      <c r="S119" s="4">
        <v>-0.29161462087355577</v>
      </c>
      <c r="T119" s="2765" t="str">
        <f>IF(       0.325&lt;0.01,"***",IF(       0.325&lt;0.05,"**",IF(       0.325&lt;0.1,"*","NS")))</f>
        <v>NS</v>
      </c>
    </row>
    <row r="120" spans="1:20" x14ac:dyDescent="0.2">
      <c r="A120" s="296" t="s">
        <v>4833</v>
      </c>
      <c r="B120" s="4">
        <v>0</v>
      </c>
      <c r="C120" s="4">
        <v>0</v>
      </c>
      <c r="D120" s="4">
        <v>0</v>
      </c>
      <c r="E120" s="2766"/>
      <c r="G120" s="296" t="s">
        <v>4873</v>
      </c>
      <c r="H120" s="4">
        <v>0</v>
      </c>
      <c r="I120" s="4">
        <v>0</v>
      </c>
      <c r="J120" s="4">
        <v>0</v>
      </c>
      <c r="K120" s="2767"/>
      <c r="L120" s="4">
        <v>0</v>
      </c>
      <c r="M120" s="4">
        <v>0</v>
      </c>
      <c r="N120" s="2768"/>
      <c r="P120" s="296" t="s">
        <v>4919</v>
      </c>
      <c r="Q120" s="4">
        <v>0</v>
      </c>
      <c r="R120" s="4">
        <v>0</v>
      </c>
      <c r="S120" s="4">
        <v>0</v>
      </c>
      <c r="T120" s="2769"/>
    </row>
    <row r="121" spans="1:20" x14ac:dyDescent="0.2">
      <c r="A121" s="296" t="s">
        <v>4834</v>
      </c>
      <c r="B121" s="4">
        <v>0.52400893126930181</v>
      </c>
      <c r="C121" s="4">
        <v>0</v>
      </c>
      <c r="D121" s="4">
        <v>-0.52400893126930337</v>
      </c>
      <c r="E121" s="2770" t="str">
        <f>IF(       0.325&lt;0.01,"***",IF(       0.325&lt;0.05,"**",IF(       0.325&lt;0.1,"*","NS")))</f>
        <v>NS</v>
      </c>
      <c r="G121" s="296" t="s">
        <v>4874</v>
      </c>
      <c r="H121" s="4">
        <v>0.52400893126930181</v>
      </c>
      <c r="I121" s="4">
        <v>0</v>
      </c>
      <c r="J121" s="4">
        <v>-0.52400893126929893</v>
      </c>
      <c r="K121" s="2771" t="str">
        <f>IF(       0.325&lt;0.01,"***",IF(       0.325&lt;0.05,"**",IF(       0.325&lt;0.1,"*","NS")))</f>
        <v>NS</v>
      </c>
      <c r="L121" s="4">
        <v>0</v>
      </c>
      <c r="M121" s="4">
        <v>-0.52400893126930204</v>
      </c>
      <c r="N121" s="2772" t="str">
        <f>IF(       0.325&lt;0.01,"***",IF(       0.325&lt;0.05,"**",IF(       0.325&lt;0.1,"*","NS")))</f>
        <v>NS</v>
      </c>
      <c r="P121" s="296" t="s">
        <v>4920</v>
      </c>
      <c r="Q121" s="4">
        <v>0.21250101270971919</v>
      </c>
      <c r="R121" s="4">
        <v>0</v>
      </c>
      <c r="S121" s="4">
        <v>-0.21250101270971922</v>
      </c>
      <c r="T121" s="2773" t="str">
        <f>IF(       0.323&lt;0.01,"***",IF(       0.323&lt;0.05,"**",IF(       0.323&lt;0.1,"*","NS")))</f>
        <v>NS</v>
      </c>
    </row>
    <row r="122" spans="1:20" x14ac:dyDescent="0.2">
      <c r="A122" s="296" t="s">
        <v>4835</v>
      </c>
      <c r="B122" s="4">
        <v>0.36949328269306259</v>
      </c>
      <c r="C122" s="4">
        <v>4.5939908320644499E-2</v>
      </c>
      <c r="D122" s="4">
        <v>-0.3235533743724196</v>
      </c>
      <c r="E122" s="2774" t="str">
        <f>IF(       0.396&lt;0.01,"***",IF(       0.396&lt;0.05,"**",IF(       0.396&lt;0.1,"*","NS")))</f>
        <v>NS</v>
      </c>
      <c r="G122" s="296" t="s">
        <v>4875</v>
      </c>
      <c r="H122" s="4">
        <v>0.36949328269306259</v>
      </c>
      <c r="I122" s="4">
        <v>4.3985289300280797E-2</v>
      </c>
      <c r="J122" s="4">
        <v>-0.32550799339278347</v>
      </c>
      <c r="K122" s="2775" t="str">
        <f>IF(       0.392&lt;0.01,"***",IF(       0.392&lt;0.05,"**",IF(       0.392&lt;0.1,"*","NS")))</f>
        <v>NS</v>
      </c>
      <c r="L122" s="4">
        <v>5.0021255055062601E-2</v>
      </c>
      <c r="M122" s="4">
        <v>-0.31947202763800053</v>
      </c>
      <c r="N122" s="2776" t="str">
        <f>IF(       0.405&lt;0.01,"***",IF(       0.405&lt;0.05,"**",IF(       0.405&lt;0.1,"*","NS")))</f>
        <v>NS</v>
      </c>
      <c r="P122" s="296" t="s">
        <v>4921</v>
      </c>
      <c r="Q122" s="4">
        <v>0.18207680560307951</v>
      </c>
      <c r="R122" s="4">
        <v>5.0021255055062601E-2</v>
      </c>
      <c r="S122" s="4">
        <v>-0.13205555054801729</v>
      </c>
      <c r="T122" s="2777" t="str">
        <f>IF(       0.422&lt;0.01,"***",IF(       0.422&lt;0.05,"**",IF(       0.422&lt;0.1,"*","NS")))</f>
        <v>NS</v>
      </c>
    </row>
    <row r="123" spans="1:20" x14ac:dyDescent="0.2">
      <c r="A123" s="296" t="s">
        <v>4836</v>
      </c>
      <c r="B123" s="4" t="s">
        <v>6067</v>
      </c>
      <c r="C123" s="4" t="s">
        <v>6067</v>
      </c>
      <c r="D123" s="4" t="s">
        <v>6067</v>
      </c>
      <c r="E123" s="4" t="s">
        <v>6067</v>
      </c>
      <c r="G123" s="296" t="s">
        <v>4876</v>
      </c>
      <c r="H123" s="4" t="s">
        <v>6067</v>
      </c>
      <c r="I123" s="4" t="s">
        <v>6067</v>
      </c>
      <c r="J123" s="4" t="s">
        <v>6067</v>
      </c>
      <c r="K123" s="4" t="s">
        <v>6067</v>
      </c>
      <c r="L123" s="4" t="s">
        <v>6067</v>
      </c>
      <c r="M123" s="4" t="s">
        <v>6067</v>
      </c>
      <c r="N123" s="4" t="s">
        <v>6067</v>
      </c>
      <c r="P123" s="296" t="s">
        <v>4922</v>
      </c>
      <c r="Q123" s="4" t="s">
        <v>6067</v>
      </c>
      <c r="R123" s="4" t="s">
        <v>6067</v>
      </c>
      <c r="S123" s="4" t="s">
        <v>6067</v>
      </c>
      <c r="T123" s="4" t="s">
        <v>6067</v>
      </c>
    </row>
    <row r="124" spans="1:20" x14ac:dyDescent="0.2">
      <c r="A124" s="296" t="s">
        <v>4837</v>
      </c>
      <c r="B124" s="4">
        <v>0</v>
      </c>
      <c r="C124" s="4">
        <v>0</v>
      </c>
      <c r="D124" s="4">
        <v>0</v>
      </c>
      <c r="E124" s="2778"/>
      <c r="G124" s="296" t="s">
        <v>4877</v>
      </c>
      <c r="H124" s="4">
        <v>0</v>
      </c>
      <c r="I124" s="4">
        <v>0</v>
      </c>
      <c r="J124" s="4">
        <v>0</v>
      </c>
      <c r="K124" s="2779"/>
      <c r="L124" s="4">
        <v>0</v>
      </c>
      <c r="M124" s="4">
        <v>0</v>
      </c>
      <c r="N124" s="2780"/>
      <c r="P124" s="296" t="s">
        <v>4923</v>
      </c>
      <c r="Q124" s="4">
        <v>0</v>
      </c>
      <c r="R124" s="4">
        <v>0</v>
      </c>
      <c r="S124" s="4">
        <v>0</v>
      </c>
      <c r="T124" s="2781"/>
    </row>
    <row r="125" spans="1:20" x14ac:dyDescent="0.2">
      <c r="A125" s="296" t="s">
        <v>4838</v>
      </c>
      <c r="B125" s="4">
        <v>0</v>
      </c>
      <c r="C125" s="4">
        <v>0.38173826206522049</v>
      </c>
      <c r="D125" s="4">
        <v>0.38173826206522643</v>
      </c>
      <c r="E125" s="2782" t="str">
        <f>IF(       0.315&lt;0.01,"***",IF(       0.315&lt;0.05,"**",IF(       0.315&lt;0.1,"*","NS")))</f>
        <v>NS</v>
      </c>
      <c r="G125" s="296" t="s">
        <v>4878</v>
      </c>
      <c r="H125" s="4">
        <v>0</v>
      </c>
      <c r="I125" s="4">
        <v>0</v>
      </c>
      <c r="J125" s="4">
        <v>0</v>
      </c>
      <c r="K125" s="2783"/>
      <c r="L125" s="4">
        <v>0.79447100503738766</v>
      </c>
      <c r="M125" s="4">
        <v>0.79447100503739287</v>
      </c>
      <c r="N125" s="2784" t="str">
        <f>IF(       0.322&lt;0.01,"***",IF(       0.322&lt;0.05,"**",IF(       0.322&lt;0.1,"*","NS")))</f>
        <v>NS</v>
      </c>
      <c r="P125" s="296" t="s">
        <v>4924</v>
      </c>
      <c r="Q125" s="4">
        <v>0</v>
      </c>
      <c r="R125" s="4">
        <v>0.79447100503738766</v>
      </c>
      <c r="S125" s="4">
        <v>0.79447100503738888</v>
      </c>
      <c r="T125" s="2785"/>
    </row>
    <row r="126" spans="1:20" x14ac:dyDescent="0.2">
      <c r="A126" s="296" t="s">
        <v>4839</v>
      </c>
      <c r="B126" s="4">
        <v>0</v>
      </c>
      <c r="C126" s="4">
        <v>0.29272720096438481</v>
      </c>
      <c r="D126" s="4">
        <v>0.29272720096438759</v>
      </c>
      <c r="E126" s="2786" t="str">
        <f>IF(       0.22&lt;0.01,"***",IF(       0.22&lt;0.05,"**",IF(       0.22&lt;0.1,"*","NS")))</f>
        <v>NS</v>
      </c>
      <c r="G126" s="296" t="s">
        <v>4879</v>
      </c>
      <c r="H126" s="4">
        <v>0</v>
      </c>
      <c r="I126" s="4">
        <v>0.46451378885686129</v>
      </c>
      <c r="J126" s="4">
        <v>0.46451378885686112</v>
      </c>
      <c r="K126" s="2787" t="str">
        <f>IF(       0.217&lt;0.01,"***",IF(       0.217&lt;0.05,"**",IF(       0.217&lt;0.1,"*","NS")))</f>
        <v>NS</v>
      </c>
      <c r="L126" s="4">
        <v>0</v>
      </c>
      <c r="M126" s="4">
        <v>0</v>
      </c>
      <c r="N126" s="2788"/>
      <c r="P126" s="296" t="s">
        <v>4925</v>
      </c>
      <c r="Q126" s="4">
        <v>0.30883932068588638</v>
      </c>
      <c r="R126" s="4">
        <v>0</v>
      </c>
      <c r="S126" s="4">
        <v>-0.30883932068588721</v>
      </c>
      <c r="T126" s="2789" t="str">
        <f>IF(       0.219&lt;0.01,"***",IF(       0.219&lt;0.05,"**",IF(       0.219&lt;0.1,"*","NS")))</f>
        <v>NS</v>
      </c>
    </row>
    <row r="127" spans="1:20" x14ac:dyDescent="0.2">
      <c r="A127" s="296" t="s">
        <v>4840</v>
      </c>
      <c r="B127" s="4">
        <v>0</v>
      </c>
      <c r="C127" s="4">
        <v>0.51619527249664454</v>
      </c>
      <c r="D127" s="4">
        <v>0.51619527249664432</v>
      </c>
      <c r="E127" s="2790" t="str">
        <f>IF(       0.316&lt;0.01,"***",IF(       0.316&lt;0.05,"**",IF(       0.316&lt;0.1,"*","NS")))</f>
        <v>NS</v>
      </c>
      <c r="G127" s="296" t="s">
        <v>4880</v>
      </c>
      <c r="H127" s="4">
        <v>0</v>
      </c>
      <c r="I127" s="4">
        <v>0.38671975449658352</v>
      </c>
      <c r="J127" s="4">
        <v>0.38671975449658297</v>
      </c>
      <c r="K127" s="2791" t="str">
        <f>IF(       0.311&lt;0.01,"***",IF(       0.311&lt;0.05,"**",IF(       0.311&lt;0.1,"*","NS")))</f>
        <v>NS</v>
      </c>
      <c r="L127" s="4">
        <v>0.77600537050282181</v>
      </c>
      <c r="M127" s="4">
        <v>0.77600537050282281</v>
      </c>
      <c r="N127" s="2792" t="str">
        <f>IF(       0.328&lt;0.01,"***",IF(       0.328&lt;0.05,"**",IF(       0.328&lt;0.1,"*","NS")))</f>
        <v>NS</v>
      </c>
      <c r="P127" s="296" t="s">
        <v>4926</v>
      </c>
      <c r="Q127" s="4">
        <v>0.22392089275812271</v>
      </c>
      <c r="R127" s="4">
        <v>0.77600537050282181</v>
      </c>
      <c r="S127" s="4">
        <v>0.55208447774470037</v>
      </c>
      <c r="T127" s="2793" t="str">
        <f>IF(       0.334&lt;0.01,"***",IF(       0.334&lt;0.05,"**",IF(       0.334&lt;0.1,"*","NS")))</f>
        <v>NS</v>
      </c>
    </row>
    <row r="128" spans="1:20" x14ac:dyDescent="0.2">
      <c r="A128" s="296" t="s">
        <v>4841</v>
      </c>
      <c r="B128" s="4">
        <v>2.4290590855715681</v>
      </c>
      <c r="C128" s="4">
        <v>1.0501952374598229</v>
      </c>
      <c r="D128" s="4">
        <v>-1.3788638481117437</v>
      </c>
      <c r="E128" s="2794" t="str">
        <f>IF(       0.394&lt;0.01,"***",IF(       0.394&lt;0.05,"**",IF(       0.394&lt;0.1,"*","NS")))</f>
        <v>NS</v>
      </c>
      <c r="G128" s="296" t="s">
        <v>4881</v>
      </c>
      <c r="H128" s="4">
        <v>2.4290590855715681</v>
      </c>
      <c r="I128" s="4">
        <v>1.299842928878838</v>
      </c>
      <c r="J128" s="4">
        <v>-1.129216156692731</v>
      </c>
      <c r="K128" s="2795" t="str">
        <f>IF(       0.509&lt;0.01,"***",IF(       0.509&lt;0.05,"**",IF(       0.509&lt;0.1,"*","NS")))</f>
        <v>NS</v>
      </c>
      <c r="L128" s="4">
        <v>0.59135014764810068</v>
      </c>
      <c r="M128" s="4">
        <v>-1.8377089379234697</v>
      </c>
      <c r="N128" s="2796" t="str">
        <f>IF(       0.218&lt;0.01,"***",IF(       0.218&lt;0.05,"**",IF(       0.218&lt;0.1,"*","NS")))</f>
        <v>NS</v>
      </c>
      <c r="P128" s="296" t="s">
        <v>4927</v>
      </c>
      <c r="Q128" s="4">
        <v>1.7948116018192111</v>
      </c>
      <c r="R128" s="4">
        <v>0.59135014764810068</v>
      </c>
      <c r="S128" s="4">
        <v>-1.2034614541711093</v>
      </c>
      <c r="T128" s="2797" t="str">
        <f>IF(       0.062&lt;0.01,"***",IF(       0.062&lt;0.05,"**",IF(       0.062&lt;0.1,"*","NS")))</f>
        <v>*</v>
      </c>
    </row>
    <row r="129" spans="1:20" x14ac:dyDescent="0.2">
      <c r="A129" s="296" t="s">
        <v>4842</v>
      </c>
      <c r="B129" s="4">
        <v>0</v>
      </c>
      <c r="C129" s="4">
        <v>0.52489495770561956</v>
      </c>
      <c r="D129" s="4">
        <v>0.52489495770561456</v>
      </c>
      <c r="E129" s="2798" t="str">
        <f>IF(       0.323&lt;0.01,"***",IF(       0.323&lt;0.05,"**",IF(       0.323&lt;0.1,"*","NS")))</f>
        <v>NS</v>
      </c>
      <c r="G129" s="296" t="s">
        <v>4882</v>
      </c>
      <c r="H129" s="4">
        <v>0</v>
      </c>
      <c r="I129" s="4">
        <v>0.7297672630748917</v>
      </c>
      <c r="J129" s="4">
        <v>0.7297672630748957</v>
      </c>
      <c r="K129" s="2799"/>
      <c r="L129" s="4">
        <v>0</v>
      </c>
      <c r="M129" s="4">
        <v>0</v>
      </c>
      <c r="N129" s="2800"/>
      <c r="P129" s="296" t="s">
        <v>4928</v>
      </c>
      <c r="Q129" s="4">
        <v>0.38558123875119371</v>
      </c>
      <c r="R129" s="4">
        <v>0</v>
      </c>
      <c r="S129" s="4">
        <v>-0.38558123875119593</v>
      </c>
      <c r="T129" s="2801" t="str">
        <f>IF(       0.322&lt;0.01,"***",IF(       0.322&lt;0.05,"**",IF(       0.322&lt;0.1,"*","NS")))</f>
        <v>NS</v>
      </c>
    </row>
    <row r="130" spans="1:20" x14ac:dyDescent="0.2">
      <c r="A130" s="296" t="s">
        <v>4843</v>
      </c>
      <c r="B130" s="4">
        <v>1.6651726703333369</v>
      </c>
      <c r="C130" s="4">
        <v>0.77763458580299527</v>
      </c>
      <c r="D130" s="4">
        <v>-0.88753808453034366</v>
      </c>
      <c r="E130" s="2802" t="str">
        <f>IF(       0.433&lt;0.01,"***",IF(       0.433&lt;0.05,"**",IF(       0.433&lt;0.1,"*","NS")))</f>
        <v>NS</v>
      </c>
      <c r="G130" s="296" t="s">
        <v>4883</v>
      </c>
      <c r="H130" s="4">
        <v>1.6651726703333369</v>
      </c>
      <c r="I130" s="4">
        <v>0.47759054907224718</v>
      </c>
      <c r="J130" s="4">
        <v>-1.1875821212610886</v>
      </c>
      <c r="K130" s="2803" t="str">
        <f>IF(       0.481&lt;0.01,"***",IF(       0.481&lt;0.05,"**",IF(       0.481&lt;0.1,"*","NS")))</f>
        <v>NS</v>
      </c>
      <c r="L130" s="4">
        <v>1.1420289644757891</v>
      </c>
      <c r="M130" s="4">
        <v>-0.52314370585754955</v>
      </c>
      <c r="N130" s="2804" t="str">
        <f>IF(       0.296&lt;0.01,"***",IF(       0.296&lt;0.05,"**",IF(       0.296&lt;0.1,"*","NS")))</f>
        <v>NS</v>
      </c>
      <c r="P130" s="296" t="s">
        <v>4929</v>
      </c>
      <c r="Q130" s="4">
        <v>0.90619720592202135</v>
      </c>
      <c r="R130" s="4">
        <v>1.1420289644757891</v>
      </c>
      <c r="S130" s="4">
        <v>0.23583175855376817</v>
      </c>
      <c r="T130" s="2805" t="str">
        <f>IF(       0.708&lt;0.01,"***",IF(       0.708&lt;0.05,"**",IF(       0.708&lt;0.1,"*","NS")))</f>
        <v>NS</v>
      </c>
    </row>
    <row r="131" spans="1:20" x14ac:dyDescent="0.2">
      <c r="A131" s="296" t="s">
        <v>4844</v>
      </c>
      <c r="B131" s="4">
        <v>0</v>
      </c>
      <c r="C131" s="4">
        <v>0</v>
      </c>
      <c r="D131" s="4">
        <v>0</v>
      </c>
      <c r="E131" s="2806"/>
      <c r="G131" s="296" t="s">
        <v>4884</v>
      </c>
      <c r="H131" s="4">
        <v>0</v>
      </c>
      <c r="I131" s="4">
        <v>0</v>
      </c>
      <c r="J131" s="4">
        <v>0</v>
      </c>
      <c r="K131" s="2807"/>
      <c r="L131" s="4">
        <v>0</v>
      </c>
      <c r="M131" s="4">
        <v>0</v>
      </c>
      <c r="N131" s="2808"/>
      <c r="P131" s="296" t="s">
        <v>4930</v>
      </c>
      <c r="Q131" s="4">
        <v>0</v>
      </c>
      <c r="R131" s="4">
        <v>0</v>
      </c>
      <c r="S131" s="4">
        <v>0</v>
      </c>
      <c r="T131" s="2809"/>
    </row>
    <row r="132" spans="1:20" x14ac:dyDescent="0.2">
      <c r="A132" s="296" t="s">
        <v>5835</v>
      </c>
      <c r="B132" s="4">
        <v>0.85892484104752098</v>
      </c>
      <c r="C132" s="4">
        <v>0.43371818200365941</v>
      </c>
      <c r="D132" s="4">
        <v>-0.42520665904386479</v>
      </c>
      <c r="E132" s="2810" t="str">
        <f>IF(       0.086&lt;0.01,"***",IF(       0.086&lt;0.05,"**",IF(       0.086&lt;0.1,"*","NS")))</f>
        <v>*</v>
      </c>
      <c r="G132" s="296" t="s">
        <v>5835</v>
      </c>
      <c r="H132" s="4">
        <v>0.85892484104752098</v>
      </c>
      <c r="I132" s="4">
        <v>0.47812605052316381</v>
      </c>
      <c r="J132" s="4">
        <v>-0.38079879052436405</v>
      </c>
      <c r="K132" s="2811" t="str">
        <f>IF(       0.147&lt;0.01,"***",IF(       0.147&lt;0.05,"**",IF(       0.147&lt;0.1,"*","NS")))</f>
        <v>NS</v>
      </c>
      <c r="L132" s="4">
        <v>0.34875322044483592</v>
      </c>
      <c r="M132" s="4">
        <v>-0.51017162060268106</v>
      </c>
      <c r="N132" s="2812" t="str">
        <f>IF(       0.049&lt;0.01,"***",IF(       0.049&lt;0.05,"**",IF(       0.049&lt;0.1,"*","NS")))</f>
        <v>**</v>
      </c>
      <c r="P132" s="296" t="s">
        <v>5835</v>
      </c>
      <c r="Q132" s="4">
        <v>0.64266360232719355</v>
      </c>
      <c r="R132" s="4">
        <v>0.34875322044483592</v>
      </c>
      <c r="S132" s="4">
        <v>-0.29391038188235252</v>
      </c>
      <c r="T132" s="2813" t="str">
        <f>IF(       0.089&lt;0.01,"***",IF(       0.089&lt;0.05,"**",IF(       0.089&lt;0.1,"*","NS")))</f>
        <v>*</v>
      </c>
    </row>
  </sheetData>
  <pageMargins left="0.7" right="0.7" top="0.75" bottom="0.75" header="0.3" footer="0.3"/>
  <tableParts count="21">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32"/>
  <sheetViews>
    <sheetView zoomScaleNormal="100" workbookViewId="0">
      <selection activeCell="D14" sqref="D14"/>
    </sheetView>
  </sheetViews>
  <sheetFormatPr baseColWidth="10" defaultColWidth="8.83203125" defaultRowHeight="15" x14ac:dyDescent="0.2"/>
  <cols>
    <col min="1" max="1" width="9.33203125" style="296" customWidth="1"/>
    <col min="2" max="5" width="15.83203125" style="4" customWidth="1"/>
    <col min="6" max="6" width="8.83203125" style="4"/>
    <col min="7" max="7" width="15.83203125" style="296" customWidth="1"/>
    <col min="8" max="14" width="15.83203125" style="4" customWidth="1"/>
    <col min="15" max="15" width="8.83203125" style="4"/>
    <col min="16" max="16" width="15.83203125" style="296" customWidth="1"/>
    <col min="17" max="20" width="15.83203125" style="4" customWidth="1"/>
    <col min="21" max="16384" width="8.83203125" style="4"/>
  </cols>
  <sheetData>
    <row r="1" spans="1:20" x14ac:dyDescent="0.2">
      <c r="A1" s="296" t="s">
        <v>2615</v>
      </c>
      <c r="G1" s="296" t="s">
        <v>2719</v>
      </c>
      <c r="P1" s="296" t="s">
        <v>2838</v>
      </c>
    </row>
    <row r="2" spans="1:20" s="3" customFormat="1" x14ac:dyDescent="0.2">
      <c r="A2" s="5622" t="s">
        <v>2616</v>
      </c>
      <c r="B2" s="5623" t="s">
        <v>2617</v>
      </c>
      <c r="C2" s="5624" t="s">
        <v>2618</v>
      </c>
      <c r="D2" s="5625" t="s">
        <v>2619</v>
      </c>
      <c r="E2" s="5626" t="s">
        <v>2620</v>
      </c>
      <c r="G2" s="5627" t="s">
        <v>2720</v>
      </c>
      <c r="H2" s="5628" t="s">
        <v>2721</v>
      </c>
      <c r="I2" s="5629" t="s">
        <v>2722</v>
      </c>
      <c r="J2" s="5630" t="s">
        <v>2723</v>
      </c>
      <c r="K2" s="5631" t="s">
        <v>2724</v>
      </c>
      <c r="L2" s="5632" t="s">
        <v>2823</v>
      </c>
      <c r="M2" s="5633" t="s">
        <v>2824</v>
      </c>
      <c r="N2" s="5634" t="s">
        <v>2825</v>
      </c>
      <c r="P2" s="5635" t="s">
        <v>2839</v>
      </c>
      <c r="Q2" s="5636" t="s">
        <v>2840</v>
      </c>
      <c r="R2" s="5637" t="s">
        <v>2841</v>
      </c>
      <c r="S2" s="5638" t="s">
        <v>2842</v>
      </c>
      <c r="T2" s="5639" t="s">
        <v>2843</v>
      </c>
    </row>
    <row r="3" spans="1:20" x14ac:dyDescent="0.2">
      <c r="A3" s="296" t="s">
        <v>2621</v>
      </c>
      <c r="B3" s="4">
        <v>13.016359960453309</v>
      </c>
      <c r="C3" s="4">
        <v>10.41148436982963</v>
      </c>
      <c r="D3" s="4">
        <v>-2.6048755906236849</v>
      </c>
      <c r="E3" s="2046" t="str">
        <f>IF(       0.119&lt;0.01,"***",IF(       0.119&lt;0.05,"**",IF(       0.119&lt;0.1,"*","NS")))</f>
        <v>NS</v>
      </c>
      <c r="G3" s="296" t="s">
        <v>2725</v>
      </c>
      <c r="H3" s="4">
        <v>13.016359960453309</v>
      </c>
      <c r="I3" s="4">
        <v>10.80757938717848</v>
      </c>
      <c r="J3" s="4">
        <v>-2.2087805732748294</v>
      </c>
      <c r="K3" s="2047" t="str">
        <f>IF(       0.209&lt;0.01,"***",IF(       0.209&lt;0.05,"**",IF(       0.209&lt;0.1,"*","NS")))</f>
        <v>NS</v>
      </c>
      <c r="L3" s="4">
        <v>8.8663701516646167</v>
      </c>
      <c r="M3" s="4">
        <v>-4.1499898087887148</v>
      </c>
      <c r="N3" s="2048" t="str">
        <f>IF(       0.057&lt;0.01,"***",IF(       0.057&lt;0.05,"**",IF(       0.057&lt;0.1,"*","NS")))</f>
        <v>*</v>
      </c>
      <c r="P3" s="296" t="s">
        <v>2844</v>
      </c>
      <c r="Q3" s="4">
        <v>12.22552366411991</v>
      </c>
      <c r="R3" s="4">
        <v>8.8663701516646167</v>
      </c>
      <c r="S3" s="4">
        <v>-3.3591535124553356</v>
      </c>
      <c r="T3" s="2049" t="str">
        <f>IF(       0.082&lt;0.01,"***",IF(       0.082&lt;0.05,"**",IF(       0.082&lt;0.1,"*","NS")))</f>
        <v>*</v>
      </c>
    </row>
    <row r="4" spans="1:20" x14ac:dyDescent="0.2">
      <c r="A4" s="296" t="s">
        <v>2622</v>
      </c>
      <c r="B4" s="4">
        <v>31.742779967102489</v>
      </c>
      <c r="C4" s="4">
        <v>21.860193041897659</v>
      </c>
      <c r="D4" s="4">
        <v>-9.8825869252047092</v>
      </c>
      <c r="E4" s="2050" t="str">
        <f>IF(       0.001&lt;0.01,"***",IF(       0.001&lt;0.05,"**",IF(       0.001&lt;0.1,"*","NS")))</f>
        <v>***</v>
      </c>
      <c r="G4" s="296" t="s">
        <v>2726</v>
      </c>
      <c r="H4" s="4">
        <v>31.742779967102489</v>
      </c>
      <c r="I4" s="4">
        <v>22.16567662822542</v>
      </c>
      <c r="J4" s="4">
        <v>-9.5771033388768814</v>
      </c>
      <c r="K4" s="2051" t="str">
        <f>IF(       0.003&lt;0.01,"***",IF(       0.003&lt;0.05,"**",IF(       0.003&lt;0.1,"*","NS")))</f>
        <v>***</v>
      </c>
      <c r="L4" s="4">
        <v>21.05942246832636</v>
      </c>
      <c r="M4" s="4">
        <v>-10.683357498776067</v>
      </c>
      <c r="N4" s="2052" t="str">
        <f>IF(       0.002&lt;0.01,"***",IF(       0.002&lt;0.05,"**",IF(       0.002&lt;0.1,"*","NS")))</f>
        <v>***</v>
      </c>
      <c r="P4" s="296" t="s">
        <v>2845</v>
      </c>
      <c r="Q4" s="4">
        <v>28.98502655156215</v>
      </c>
      <c r="R4" s="4">
        <v>21.05942246832636</v>
      </c>
      <c r="S4" s="4">
        <v>-7.9256040832358927</v>
      </c>
      <c r="T4" s="2053" t="str">
        <f>IF(       0.009&lt;0.01,"***",IF(       0.009&lt;0.05,"**",IF(       0.009&lt;0.1,"*","NS")))</f>
        <v>***</v>
      </c>
    </row>
    <row r="5" spans="1:20" x14ac:dyDescent="0.2">
      <c r="A5" s="296" t="s">
        <v>2623</v>
      </c>
      <c r="B5" s="4">
        <v>16.393490499188161</v>
      </c>
      <c r="C5" s="4">
        <v>8.4104834838419436</v>
      </c>
      <c r="D5" s="4">
        <v>-7.9830070153461525</v>
      </c>
      <c r="E5" s="2054" t="str">
        <f>IF(       0&lt;0.01,"***",IF(       0&lt;0.05,"**",IF(       0&lt;0.1,"*","NS")))</f>
        <v>***</v>
      </c>
      <c r="G5" s="296" t="s">
        <v>2727</v>
      </c>
      <c r="H5" s="4">
        <v>16.393490499188161</v>
      </c>
      <c r="I5" s="4">
        <v>9.4815904275684435</v>
      </c>
      <c r="J5" s="4">
        <v>-6.9119000716197885</v>
      </c>
      <c r="K5" s="2055" t="str">
        <f>IF(       0.001&lt;0.01,"***",IF(       0.001&lt;0.05,"**",IF(       0.001&lt;0.1,"*","NS")))</f>
        <v>***</v>
      </c>
      <c r="L5" s="4">
        <v>5.1827637377970159</v>
      </c>
      <c r="M5" s="4">
        <v>-11.21072676139098</v>
      </c>
      <c r="N5" s="2056" t="str">
        <f>IF(       0.002&lt;0.01,"***",IF(       0.002&lt;0.05,"**",IF(       0.002&lt;0.1,"*","NS")))</f>
        <v>***</v>
      </c>
      <c r="P5" s="296" t="s">
        <v>2846</v>
      </c>
      <c r="Q5" s="4">
        <v>14.756832230485699</v>
      </c>
      <c r="R5" s="4">
        <v>5.1827637377970159</v>
      </c>
      <c r="S5" s="4">
        <v>-9.5740684926887365</v>
      </c>
      <c r="T5" s="2057" t="str">
        <f>IF(       0.004&lt;0.01,"***",IF(       0.004&lt;0.05,"**",IF(       0.004&lt;0.1,"*","NS")))</f>
        <v>***</v>
      </c>
    </row>
    <row r="6" spans="1:20" x14ac:dyDescent="0.2">
      <c r="A6" s="296" t="s">
        <v>2624</v>
      </c>
      <c r="B6" s="4">
        <v>22.660189005040991</v>
      </c>
      <c r="C6" s="4">
        <v>19.57524794110476</v>
      </c>
      <c r="D6" s="4">
        <v>-3.0849410639361974</v>
      </c>
      <c r="E6" s="2058" t="str">
        <f>IF(       0.168&lt;0.01,"***",IF(       0.168&lt;0.05,"**",IF(       0.168&lt;0.1,"*","NS")))</f>
        <v>NS</v>
      </c>
      <c r="G6" s="296" t="s">
        <v>2728</v>
      </c>
      <c r="H6" s="4">
        <v>22.660189005040991</v>
      </c>
      <c r="I6" s="4">
        <v>20.548034396348442</v>
      </c>
      <c r="J6" s="4">
        <v>-2.112154608692534</v>
      </c>
      <c r="K6" s="2059" t="str">
        <f>IF(       0.331&lt;0.01,"***",IF(       0.331&lt;0.05,"**",IF(       0.331&lt;0.1,"*","NS")))</f>
        <v>NS</v>
      </c>
      <c r="L6" s="4">
        <v>15.893313098269561</v>
      </c>
      <c r="M6" s="4">
        <v>-6.7668759067715154</v>
      </c>
      <c r="N6" s="2060" t="str">
        <f>IF(       0.105&lt;0.01,"***",IF(       0.105&lt;0.05,"**",IF(       0.105&lt;0.1,"*","NS")))</f>
        <v>NS</v>
      </c>
      <c r="P6" s="296" t="s">
        <v>2847</v>
      </c>
      <c r="Q6" s="4">
        <v>22.04171108309999</v>
      </c>
      <c r="R6" s="4">
        <v>15.893313098269561</v>
      </c>
      <c r="S6" s="4">
        <v>-6.1483979848304937</v>
      </c>
      <c r="T6" s="2061" t="str">
        <f>IF(       0.121&lt;0.01,"***",IF(       0.121&lt;0.05,"**",IF(       0.121&lt;0.1,"*","NS")))</f>
        <v>NS</v>
      </c>
    </row>
    <row r="7" spans="1:20" x14ac:dyDescent="0.2">
      <c r="A7" s="296" t="s">
        <v>2625</v>
      </c>
      <c r="B7" s="4">
        <v>22.712535844315781</v>
      </c>
      <c r="C7" s="4">
        <v>17.96716906478991</v>
      </c>
      <c r="D7" s="4">
        <v>-4.7453667795260079</v>
      </c>
      <c r="E7" s="2062" t="str">
        <f>IF(       0.12&lt;0.01,"***",IF(       0.12&lt;0.05,"**",IF(       0.12&lt;0.1,"*","NS")))</f>
        <v>NS</v>
      </c>
      <c r="G7" s="296" t="s">
        <v>2729</v>
      </c>
      <c r="H7" s="4">
        <v>22.712535844315781</v>
      </c>
      <c r="I7" s="4">
        <v>18.0892402669547</v>
      </c>
      <c r="J7" s="4">
        <v>-4.62329557736106</v>
      </c>
      <c r="K7" s="2063" t="str">
        <f>IF(       0.094&lt;0.01,"***",IF(       0.094&lt;0.05,"**",IF(       0.094&lt;0.1,"*","NS")))</f>
        <v>*</v>
      </c>
      <c r="L7" s="4">
        <v>17.389252347903621</v>
      </c>
      <c r="M7" s="4">
        <v>-5.3232834964121825</v>
      </c>
      <c r="N7" s="2064" t="str">
        <f>IF(       0.355&lt;0.01,"***",IF(       0.355&lt;0.05,"**",IF(       0.355&lt;0.1,"*","NS")))</f>
        <v>NS</v>
      </c>
      <c r="P7" s="296" t="s">
        <v>2848</v>
      </c>
      <c r="Q7" s="4">
        <v>21.491117086015159</v>
      </c>
      <c r="R7" s="4">
        <v>17.389252347903621</v>
      </c>
      <c r="S7" s="4">
        <v>-4.1018647381115976</v>
      </c>
      <c r="T7" s="2065" t="str">
        <f>IF(       0.436&lt;0.01,"***",IF(       0.436&lt;0.05,"**",IF(       0.436&lt;0.1,"*","NS")))</f>
        <v>NS</v>
      </c>
    </row>
    <row r="8" spans="1:20" x14ac:dyDescent="0.2">
      <c r="A8" s="296" t="s">
        <v>2626</v>
      </c>
      <c r="B8" s="4">
        <v>41.776127733482873</v>
      </c>
      <c r="C8" s="4">
        <v>30.674912045081811</v>
      </c>
      <c r="D8" s="4">
        <v>-11.10121568840114</v>
      </c>
      <c r="E8" s="2066" t="str">
        <f>IF(       0&lt;0.01,"***",IF(       0&lt;0.05,"**",IF(       0&lt;0.1,"*","NS")))</f>
        <v>***</v>
      </c>
      <c r="G8" s="296" t="s">
        <v>2730</v>
      </c>
      <c r="H8" s="4">
        <v>41.776127733482873</v>
      </c>
      <c r="I8" s="4">
        <v>32.664693818337099</v>
      </c>
      <c r="J8" s="4">
        <v>-9.1114339151458399</v>
      </c>
      <c r="K8" s="2067" t="str">
        <f>IF(       0.003&lt;0.01,"***",IF(       0.003&lt;0.05,"**",IF(       0.003&lt;0.1,"*","NS")))</f>
        <v>***</v>
      </c>
      <c r="L8" s="4">
        <v>24.4256034264153</v>
      </c>
      <c r="M8" s="4">
        <v>-17.35052430706757</v>
      </c>
      <c r="N8" s="2068" t="str">
        <f>IF(       0&lt;0.01,"***",IF(       0&lt;0.05,"**",IF(       0&lt;0.1,"*","NS")))</f>
        <v>***</v>
      </c>
      <c r="P8" s="296" t="s">
        <v>2849</v>
      </c>
      <c r="Q8" s="4">
        <v>39.224401224371753</v>
      </c>
      <c r="R8" s="4">
        <v>24.4256034264153</v>
      </c>
      <c r="S8" s="4">
        <v>-14.798797797956146</v>
      </c>
      <c r="T8" s="2069" t="str">
        <f>IF(       0&lt;0.01,"***",IF(       0&lt;0.05,"**",IF(       0&lt;0.1,"*","NS")))</f>
        <v>***</v>
      </c>
    </row>
    <row r="9" spans="1:20" x14ac:dyDescent="0.2">
      <c r="A9" s="296" t="s">
        <v>2627</v>
      </c>
      <c r="B9" s="4">
        <v>91.981549034499906</v>
      </c>
      <c r="C9" s="4">
        <v>92.630748475015352</v>
      </c>
      <c r="D9" s="4">
        <v>0.64919944051542788</v>
      </c>
      <c r="E9" s="2070" t="str">
        <f>IF(       0.734&lt;0.01,"***",IF(       0.734&lt;0.05,"**",IF(       0.734&lt;0.1,"*","NS")))</f>
        <v>NS</v>
      </c>
      <c r="G9" s="296" t="s">
        <v>2731</v>
      </c>
      <c r="H9" s="4">
        <v>91.981549034499906</v>
      </c>
      <c r="I9" s="4">
        <v>92.274874203679545</v>
      </c>
      <c r="J9" s="4">
        <v>0.29332516917963947</v>
      </c>
      <c r="K9" s="2071" t="str">
        <f>IF(       0.897&lt;0.01,"***",IF(       0.897&lt;0.05,"**",IF(       0.897&lt;0.1,"*","NS")))</f>
        <v>NS</v>
      </c>
      <c r="L9" s="4">
        <v>94.279241395066535</v>
      </c>
      <c r="M9" s="4">
        <v>2.2976923605666046</v>
      </c>
      <c r="N9" s="2072" t="str">
        <f>IF(       0.266&lt;0.01,"***",IF(       0.266&lt;0.05,"**",IF(       0.266&lt;0.1,"*","NS")))</f>
        <v>NS</v>
      </c>
      <c r="P9" s="296" t="s">
        <v>2850</v>
      </c>
      <c r="Q9" s="4">
        <v>92.025041317477587</v>
      </c>
      <c r="R9" s="4">
        <v>94.279241395066535</v>
      </c>
      <c r="S9" s="4">
        <v>2.2542000775889308</v>
      </c>
      <c r="T9" s="2073" t="str">
        <f>IF(       0.28&lt;0.01,"***",IF(       0.28&lt;0.05,"**",IF(       0.28&lt;0.1,"*","NS")))</f>
        <v>NS</v>
      </c>
    </row>
    <row r="10" spans="1:20" x14ac:dyDescent="0.2">
      <c r="A10" s="296" t="s">
        <v>2628</v>
      </c>
      <c r="B10" s="4">
        <v>2.7963049804673581</v>
      </c>
      <c r="C10" s="4">
        <v>3.174257645401084</v>
      </c>
      <c r="D10" s="4">
        <v>0.37795266493372265</v>
      </c>
      <c r="E10" s="2074" t="str">
        <f>IF(       0.755&lt;0.01,"***",IF(       0.755&lt;0.05,"**",IF(       0.755&lt;0.1,"*","NS")))</f>
        <v>NS</v>
      </c>
      <c r="G10" s="296" t="s">
        <v>2732</v>
      </c>
      <c r="H10" s="4">
        <v>2.7963049804673581</v>
      </c>
      <c r="I10" s="4">
        <v>3.64760307810822</v>
      </c>
      <c r="J10" s="4">
        <v>0.85129809764087416</v>
      </c>
      <c r="K10" s="2075" t="str">
        <f>IF(       0.507&lt;0.01,"***",IF(       0.507&lt;0.05,"**",IF(       0.507&lt;0.1,"*","NS")))</f>
        <v>NS</v>
      </c>
      <c r="L10" s="4">
        <v>1.6254037324528809</v>
      </c>
      <c r="M10" s="4">
        <v>-1.170901248014468</v>
      </c>
      <c r="N10" s="2076" t="str">
        <f>IF(       0.431&lt;0.01,"***",IF(       0.431&lt;0.05,"**",IF(       0.431&lt;0.1,"*","NS")))</f>
        <v>NS</v>
      </c>
      <c r="P10" s="296" t="s">
        <v>2851</v>
      </c>
      <c r="Q10" s="4">
        <v>2.953895547243421</v>
      </c>
      <c r="R10" s="4">
        <v>1.6254037324528809</v>
      </c>
      <c r="S10" s="4">
        <v>-1.3284918147905482</v>
      </c>
      <c r="T10" s="2077" t="str">
        <f>IF(       0.329&lt;0.01,"***",IF(       0.329&lt;0.05,"**",IF(       0.329&lt;0.1,"*","NS")))</f>
        <v>NS</v>
      </c>
    </row>
    <row r="11" spans="1:20" x14ac:dyDescent="0.2">
      <c r="A11" s="296" t="s">
        <v>2629</v>
      </c>
      <c r="B11" s="4">
        <v>24.009523052947209</v>
      </c>
      <c r="C11" s="4">
        <v>16.820762418187091</v>
      </c>
      <c r="D11" s="4">
        <v>-7.1887606347601727</v>
      </c>
      <c r="E11" s="2078" t="str">
        <f>IF(       0.002&lt;0.01,"***",IF(       0.002&lt;0.05,"**",IF(       0.002&lt;0.1,"*","NS")))</f>
        <v>***</v>
      </c>
      <c r="G11" s="296" t="s">
        <v>2733</v>
      </c>
      <c r="H11" s="4">
        <v>24.009523052947209</v>
      </c>
      <c r="I11" s="4">
        <v>17.352692781045221</v>
      </c>
      <c r="J11" s="4">
        <v>-6.6568302719020709</v>
      </c>
      <c r="K11" s="2079" t="str">
        <f>IF(       0.003&lt;0.01,"***",IF(       0.003&lt;0.05,"**",IF(       0.003&lt;0.1,"*","NS")))</f>
        <v>***</v>
      </c>
      <c r="L11" s="4">
        <v>15.97141768829</v>
      </c>
      <c r="M11" s="4">
        <v>-8.0381053646572251</v>
      </c>
      <c r="N11" s="2080" t="str">
        <f>IF(       0.006&lt;0.01,"***",IF(       0.006&lt;0.05,"**",IF(       0.006&lt;0.1,"*","NS")))</f>
        <v>***</v>
      </c>
      <c r="P11" s="296" t="s">
        <v>2852</v>
      </c>
      <c r="Q11" s="4">
        <v>21.747434125545009</v>
      </c>
      <c r="R11" s="4">
        <v>15.97141768829</v>
      </c>
      <c r="S11" s="4">
        <v>-5.7760164372549871</v>
      </c>
      <c r="T11" s="2081" t="str">
        <f>IF(       0.018&lt;0.01,"***",IF(       0.018&lt;0.05,"**",IF(       0.018&lt;0.1,"*","NS")))</f>
        <v>**</v>
      </c>
    </row>
    <row r="12" spans="1:20" x14ac:dyDescent="0.2">
      <c r="A12" s="296" t="s">
        <v>2630</v>
      </c>
      <c r="B12" s="4">
        <v>17.21937786581562</v>
      </c>
      <c r="C12" s="4">
        <v>13.305046707356739</v>
      </c>
      <c r="D12" s="4">
        <v>-3.9143311584588769</v>
      </c>
      <c r="E12" s="2082" t="str">
        <f>IF(       0.02&lt;0.01,"***",IF(       0.02&lt;0.05,"**",IF(       0.02&lt;0.1,"*","NS")))</f>
        <v>**</v>
      </c>
      <c r="G12" s="296" t="s">
        <v>2734</v>
      </c>
      <c r="H12" s="4">
        <v>17.21937786581562</v>
      </c>
      <c r="I12" s="4">
        <v>14.03678616024094</v>
      </c>
      <c r="J12" s="4">
        <v>-3.1825917055746689</v>
      </c>
      <c r="K12" s="2083" t="str">
        <f>IF(       0.064&lt;0.01,"***",IF(       0.064&lt;0.05,"**",IF(       0.064&lt;0.1,"*","NS")))</f>
        <v>*</v>
      </c>
      <c r="L12" s="4">
        <v>10.926872219143119</v>
      </c>
      <c r="M12" s="4">
        <v>-6.2925056466725815</v>
      </c>
      <c r="N12" s="2084" t="str">
        <f>IF(       0.009&lt;0.01,"***",IF(       0.009&lt;0.05,"**",IF(       0.009&lt;0.1,"*","NS")))</f>
        <v>***</v>
      </c>
      <c r="P12" s="296" t="s">
        <v>2853</v>
      </c>
      <c r="Q12" s="4">
        <v>15.991068858716829</v>
      </c>
      <c r="R12" s="4">
        <v>10.926872219143119</v>
      </c>
      <c r="S12" s="4">
        <v>-5.06419663957384</v>
      </c>
      <c r="T12" s="2085" t="str">
        <f>IF(       0.019&lt;0.01,"***",IF(       0.019&lt;0.05,"**",IF(       0.019&lt;0.1,"*","NS")))</f>
        <v>**</v>
      </c>
    </row>
    <row r="13" spans="1:20" x14ac:dyDescent="0.2">
      <c r="A13" s="296" t="s">
        <v>2631</v>
      </c>
      <c r="B13" s="4">
        <v>50.566236739415068</v>
      </c>
      <c r="C13" s="4">
        <v>43.817998869762867</v>
      </c>
      <c r="D13" s="4">
        <v>-6.7482378696522094</v>
      </c>
      <c r="E13" s="2086" t="str">
        <f>IF(       0.003&lt;0.01,"***",IF(       0.003&lt;0.05,"**",IF(       0.003&lt;0.1,"*","NS")))</f>
        <v>***</v>
      </c>
      <c r="G13" s="296" t="s">
        <v>2735</v>
      </c>
      <c r="H13" s="4">
        <v>50.566236739415068</v>
      </c>
      <c r="I13" s="4">
        <v>44.179072994393508</v>
      </c>
      <c r="J13" s="4">
        <v>-6.3871637450215131</v>
      </c>
      <c r="K13" s="2087" t="str">
        <f>IF(       0.007&lt;0.01,"***",IF(       0.007&lt;0.05,"**",IF(       0.007&lt;0.1,"*","NS")))</f>
        <v>***</v>
      </c>
      <c r="L13" s="4">
        <v>42.842091288128003</v>
      </c>
      <c r="M13" s="4">
        <v>-7.7241454512870664</v>
      </c>
      <c r="N13" s="2088" t="str">
        <f>IF(       0.12&lt;0.01,"***",IF(       0.12&lt;0.05,"**",IF(       0.12&lt;0.1,"*","NS")))</f>
        <v>NS</v>
      </c>
      <c r="P13" s="296" t="s">
        <v>2854</v>
      </c>
      <c r="Q13" s="4">
        <v>49.037931702607743</v>
      </c>
      <c r="R13" s="4">
        <v>42.842091288128003</v>
      </c>
      <c r="S13" s="4">
        <v>-6.1958404144795844</v>
      </c>
      <c r="T13" s="2089" t="str">
        <f>IF(       0.21&lt;0.01,"***",IF(       0.21&lt;0.05,"**",IF(       0.21&lt;0.1,"*","NS")))</f>
        <v>NS</v>
      </c>
    </row>
    <row r="14" spans="1:20" x14ac:dyDescent="0.2">
      <c r="A14" s="296" t="s">
        <v>2632</v>
      </c>
      <c r="B14" s="4">
        <v>71.751418912297837</v>
      </c>
      <c r="C14" s="4">
        <v>50.975641782429491</v>
      </c>
      <c r="D14" s="4">
        <v>-20.775777129868953</v>
      </c>
      <c r="E14" s="2090" t="str">
        <f>IF(       0&lt;0.01,"***",IF(       0&lt;0.05,"**",IF(       0&lt;0.1,"*","NS")))</f>
        <v>***</v>
      </c>
      <c r="G14" s="296" t="s">
        <v>2736</v>
      </c>
      <c r="H14" s="4">
        <v>71.751418912297837</v>
      </c>
      <c r="I14" s="4">
        <v>54.889238913895142</v>
      </c>
      <c r="J14" s="4">
        <v>-16.862179998402461</v>
      </c>
      <c r="K14" s="2091" t="str">
        <f>IF(       0&lt;0.01,"***",IF(       0&lt;0.05,"**",IF(       0&lt;0.1,"*","NS")))</f>
        <v>***</v>
      </c>
      <c r="L14" s="4">
        <v>39.445938557932813</v>
      </c>
      <c r="M14" s="4">
        <v>-32.305480354364882</v>
      </c>
      <c r="N14" s="2092" t="str">
        <f>IF(       0&lt;0.01,"***",IF(       0&lt;0.05,"**",IF(       0&lt;0.1,"*","NS")))</f>
        <v>***</v>
      </c>
      <c r="P14" s="296" t="s">
        <v>2855</v>
      </c>
      <c r="Q14" s="4">
        <v>68.092132682194844</v>
      </c>
      <c r="R14" s="4">
        <v>39.445938557932813</v>
      </c>
      <c r="S14" s="4">
        <v>-28.646194124261967</v>
      </c>
      <c r="T14" s="2093" t="str">
        <f>IF(       0&lt;0.01,"***",IF(       0&lt;0.05,"**",IF(       0&lt;0.1,"*","NS")))</f>
        <v>***</v>
      </c>
    </row>
    <row r="15" spans="1:20" x14ac:dyDescent="0.2">
      <c r="A15" s="296" t="s">
        <v>2633</v>
      </c>
      <c r="B15" s="4">
        <v>28.507062614980349</v>
      </c>
      <c r="C15" s="4">
        <v>20.245149466548849</v>
      </c>
      <c r="D15" s="4">
        <v>-8.261913148431363</v>
      </c>
      <c r="E15" s="2094" t="str">
        <f>IF(       0.002&lt;0.01,"***",IF(       0.002&lt;0.05,"**",IF(       0.002&lt;0.1,"*","NS")))</f>
        <v>***</v>
      </c>
      <c r="G15" s="296" t="s">
        <v>2737</v>
      </c>
      <c r="H15" s="4">
        <v>28.507062614980349</v>
      </c>
      <c r="I15" s="4">
        <v>21.05515889410286</v>
      </c>
      <c r="J15" s="4">
        <v>-7.4519037208775307</v>
      </c>
      <c r="K15" s="2095" t="str">
        <f>IF(       0.009&lt;0.01,"***",IF(       0.009&lt;0.05,"**",IF(       0.009&lt;0.1,"*","NS")))</f>
        <v>***</v>
      </c>
      <c r="L15" s="4">
        <v>17.76207187232237</v>
      </c>
      <c r="M15" s="4">
        <v>-10.744990742658032</v>
      </c>
      <c r="N15" s="2096" t="str">
        <f>IF(       0.011&lt;0.01,"***",IF(       0.011&lt;0.05,"**",IF(       0.011&lt;0.1,"*","NS")))</f>
        <v>**</v>
      </c>
      <c r="P15" s="296" t="s">
        <v>2856</v>
      </c>
      <c r="Q15" s="4">
        <v>26.83046727374969</v>
      </c>
      <c r="R15" s="4">
        <v>17.76207187232237</v>
      </c>
      <c r="S15" s="4">
        <v>-9.0683954014273258</v>
      </c>
      <c r="T15" s="2097" t="str">
        <f>IF(       0.025&lt;0.01,"***",IF(       0.025&lt;0.05,"**",IF(       0.025&lt;0.1,"*","NS")))</f>
        <v>**</v>
      </c>
    </row>
    <row r="16" spans="1:20" x14ac:dyDescent="0.2">
      <c r="A16" s="296" t="s">
        <v>2634</v>
      </c>
      <c r="B16" s="4">
        <v>22.66821497963867</v>
      </c>
      <c r="C16" s="4">
        <v>16.18220880563528</v>
      </c>
      <c r="D16" s="4">
        <v>-6.4860061740033244</v>
      </c>
      <c r="E16" s="2098" t="str">
        <f>IF(       0.014&lt;0.01,"***",IF(       0.014&lt;0.05,"**",IF(       0.014&lt;0.1,"*","NS")))</f>
        <v>**</v>
      </c>
      <c r="G16" s="296" t="s">
        <v>2738</v>
      </c>
      <c r="H16" s="4">
        <v>22.66821497963867</v>
      </c>
      <c r="I16" s="4">
        <v>16.706745348227159</v>
      </c>
      <c r="J16" s="4">
        <v>-5.9614696314115188</v>
      </c>
      <c r="K16" s="2099" t="str">
        <f>IF(       0.043&lt;0.01,"***",IF(       0.043&lt;0.05,"**",IF(       0.043&lt;0.1,"*","NS")))</f>
        <v>**</v>
      </c>
      <c r="L16" s="4">
        <v>15.02110289737667</v>
      </c>
      <c r="M16" s="4">
        <v>-7.6471120822619705</v>
      </c>
      <c r="N16" s="2100" t="str">
        <f>IF(       0.002&lt;0.01,"***",IF(       0.002&lt;0.05,"**",IF(       0.002&lt;0.1,"*","NS")))</f>
        <v>***</v>
      </c>
      <c r="P16" s="296" t="s">
        <v>2857</v>
      </c>
      <c r="Q16" s="4">
        <v>20.701370140927921</v>
      </c>
      <c r="R16" s="4">
        <v>15.02110289737667</v>
      </c>
      <c r="S16" s="4">
        <v>-5.6802672435512553</v>
      </c>
      <c r="T16" s="2101" t="str">
        <f>IF(       0.004&lt;0.01,"***",IF(       0.004&lt;0.05,"**",IF(       0.004&lt;0.1,"*","NS")))</f>
        <v>***</v>
      </c>
    </row>
    <row r="17" spans="1:20" x14ac:dyDescent="0.2">
      <c r="A17" s="296" t="s">
        <v>2635</v>
      </c>
      <c r="B17" s="4">
        <v>17.482012734449079</v>
      </c>
      <c r="C17" s="4">
        <v>11.706071148563231</v>
      </c>
      <c r="D17" s="4">
        <v>-5.7759415858858825</v>
      </c>
      <c r="E17" s="2102" t="str">
        <f>IF(       0.032&lt;0.01,"***",IF(       0.032&lt;0.05,"**",IF(       0.032&lt;0.1,"*","NS")))</f>
        <v>**</v>
      </c>
      <c r="G17" s="296" t="s">
        <v>2739</v>
      </c>
      <c r="H17" s="4">
        <v>17.482012734449079</v>
      </c>
      <c r="I17" s="4">
        <v>11.78208461310683</v>
      </c>
      <c r="J17" s="4">
        <v>-5.6999281213422588</v>
      </c>
      <c r="K17" s="2103" t="str">
        <f>IF(       0.057&lt;0.01,"***",IF(       0.057&lt;0.05,"**",IF(       0.057&lt;0.1,"*","NS")))</f>
        <v>*</v>
      </c>
      <c r="L17" s="4">
        <v>11.465542495994709</v>
      </c>
      <c r="M17" s="4">
        <v>-6.0164702384542696</v>
      </c>
      <c r="N17" s="2104" t="str">
        <f>IF(       0.014&lt;0.01,"***",IF(       0.014&lt;0.05,"**",IF(       0.014&lt;0.1,"*","NS")))</f>
        <v>**</v>
      </c>
      <c r="P17" s="296" t="s">
        <v>2858</v>
      </c>
      <c r="Q17" s="4">
        <v>16.00036637012736</v>
      </c>
      <c r="R17" s="4">
        <v>11.465542495994709</v>
      </c>
      <c r="S17" s="4">
        <v>-4.5348238741326181</v>
      </c>
      <c r="T17" s="2105" t="str">
        <f>IF(       0.027&lt;0.01,"***",IF(       0.027&lt;0.05,"**",IF(       0.027&lt;0.1,"*","NS")))</f>
        <v>**</v>
      </c>
    </row>
    <row r="18" spans="1:20" x14ac:dyDescent="0.2">
      <c r="A18" s="296" t="s">
        <v>5835</v>
      </c>
      <c r="B18" s="4">
        <v>37.945806908781478</v>
      </c>
      <c r="C18" s="4">
        <v>25.710225346626871</v>
      </c>
      <c r="D18" s="4">
        <v>-12.235581562154941</v>
      </c>
      <c r="E18" s="2106" t="str">
        <f>IF(       0&lt;0.01,"***",IF(       0&lt;0.05,"**",IF(       0&lt;0.1,"*","NS")))</f>
        <v>***</v>
      </c>
      <c r="G18" s="296" t="s">
        <v>5835</v>
      </c>
      <c r="H18" s="4">
        <v>37.945806908781478</v>
      </c>
      <c r="I18" s="4">
        <v>26.836220529192211</v>
      </c>
      <c r="J18" s="4">
        <v>-11.109586379589036</v>
      </c>
      <c r="K18" s="2107" t="str">
        <f>IF(       0&lt;0.01,"***",IF(       0&lt;0.05,"**",IF(       0&lt;0.1,"*","NS")))</f>
        <v>***</v>
      </c>
      <c r="L18" s="4">
        <v>22.401207133962121</v>
      </c>
      <c r="M18" s="4">
        <v>-15.544599774818838</v>
      </c>
      <c r="N18" s="2108" t="str">
        <f>IF(       0&lt;0.01,"***",IF(       0&lt;0.05,"**",IF(       0&lt;0.1,"*","NS")))</f>
        <v>***</v>
      </c>
      <c r="P18" s="296" t="s">
        <v>5835</v>
      </c>
      <c r="Q18" s="4">
        <v>34.978249334351247</v>
      </c>
      <c r="R18" s="4">
        <v>22.401207133962121</v>
      </c>
      <c r="S18" s="4">
        <v>-12.577042200389169</v>
      </c>
      <c r="T18" s="2109" t="str">
        <f>IF(       0&lt;0.01,"***",IF(       0&lt;0.05,"**",IF(       0&lt;0.1,"*","NS")))</f>
        <v>***</v>
      </c>
    </row>
    <row r="20" spans="1:20" x14ac:dyDescent="0.2">
      <c r="A20" s="296" t="s">
        <v>2636</v>
      </c>
      <c r="G20" s="296" t="s">
        <v>2740</v>
      </c>
      <c r="P20" s="296" t="s">
        <v>2859</v>
      </c>
    </row>
    <row r="21" spans="1:20" s="3" customFormat="1" x14ac:dyDescent="0.2">
      <c r="A21" s="5640" t="s">
        <v>2637</v>
      </c>
      <c r="B21" s="5641" t="s">
        <v>2638</v>
      </c>
      <c r="C21" s="5642" t="s">
        <v>2639</v>
      </c>
      <c r="D21" s="5643" t="s">
        <v>2640</v>
      </c>
      <c r="E21" s="5644" t="s">
        <v>2641</v>
      </c>
      <c r="G21" s="5645" t="s">
        <v>2741</v>
      </c>
      <c r="H21" s="5646" t="s">
        <v>2742</v>
      </c>
      <c r="I21" s="5647" t="s">
        <v>2743</v>
      </c>
      <c r="J21" s="5648" t="s">
        <v>2744</v>
      </c>
      <c r="K21" s="5649" t="s">
        <v>2745</v>
      </c>
      <c r="L21" s="5650" t="s">
        <v>2826</v>
      </c>
      <c r="M21" s="5651" t="s">
        <v>2827</v>
      </c>
      <c r="N21" s="5652" t="s">
        <v>2828</v>
      </c>
      <c r="P21" s="5653" t="s">
        <v>2860</v>
      </c>
      <c r="Q21" s="5654" t="s">
        <v>2861</v>
      </c>
      <c r="R21" s="5655" t="s">
        <v>2862</v>
      </c>
      <c r="S21" s="5656" t="s">
        <v>2863</v>
      </c>
      <c r="T21" s="5657" t="s">
        <v>2864</v>
      </c>
    </row>
    <row r="22" spans="1:20" x14ac:dyDescent="0.2">
      <c r="A22" s="296" t="s">
        <v>2642</v>
      </c>
      <c r="B22" s="4">
        <v>12.214472669362969</v>
      </c>
      <c r="C22" s="4">
        <v>10.14838176280532</v>
      </c>
      <c r="D22" s="4">
        <v>-2.0660909065576449</v>
      </c>
      <c r="E22" s="2110" t="str">
        <f>IF(       0.335&lt;0.01,"***",IF(       0.335&lt;0.05,"**",IF(       0.335&lt;0.1,"*","NS")))</f>
        <v>NS</v>
      </c>
      <c r="G22" s="296" t="s">
        <v>2746</v>
      </c>
      <c r="H22" s="4">
        <v>12.214472669362969</v>
      </c>
      <c r="I22" s="4">
        <v>10.935828076422821</v>
      </c>
      <c r="J22" s="4">
        <v>-1.2786445929401369</v>
      </c>
      <c r="K22" s="2111" t="str">
        <f>IF(       0.569&lt;0.01,"***",IF(       0.569&lt;0.05,"**",IF(       0.569&lt;0.1,"*","NS")))</f>
        <v>NS</v>
      </c>
      <c r="L22" s="4">
        <v>7.4388819127042778</v>
      </c>
      <c r="M22" s="4">
        <v>-4.7755907566586906</v>
      </c>
      <c r="N22" s="2112" t="str">
        <f>IF(       0.107&lt;0.01,"***",IF(       0.107&lt;0.05,"**",IF(       0.107&lt;0.1,"*","NS")))</f>
        <v>NS</v>
      </c>
      <c r="P22" s="296" t="s">
        <v>2865</v>
      </c>
      <c r="Q22" s="4">
        <v>11.733950574448111</v>
      </c>
      <c r="R22" s="4">
        <v>7.4388819127042778</v>
      </c>
      <c r="S22" s="4">
        <v>-4.2950686617438265</v>
      </c>
      <c r="T22" s="2113" t="str">
        <f>IF(       0.105&lt;0.01,"***",IF(       0.105&lt;0.05,"**",IF(       0.105&lt;0.1,"*","NS")))</f>
        <v>NS</v>
      </c>
    </row>
    <row r="23" spans="1:20" x14ac:dyDescent="0.2">
      <c r="A23" s="296" t="s">
        <v>2643</v>
      </c>
      <c r="B23" s="4">
        <v>30.857792842895599</v>
      </c>
      <c r="C23" s="4">
        <v>22.419608473695249</v>
      </c>
      <c r="D23" s="4">
        <v>-8.4381843692003713</v>
      </c>
      <c r="E23" s="2114" t="str">
        <f>IF(       0.021&lt;0.01,"***",IF(       0.021&lt;0.05,"**",IF(       0.021&lt;0.1,"*","NS")))</f>
        <v>**</v>
      </c>
      <c r="G23" s="296" t="s">
        <v>2747</v>
      </c>
      <c r="H23" s="4">
        <v>30.857792842895599</v>
      </c>
      <c r="I23" s="4">
        <v>22.680027648147881</v>
      </c>
      <c r="J23" s="4">
        <v>-8.1777651947476748</v>
      </c>
      <c r="K23" s="2115" t="str">
        <f>IF(       0.045&lt;0.01,"***",IF(       0.045&lt;0.05,"**",IF(       0.045&lt;0.1,"*","NS")))</f>
        <v>**</v>
      </c>
      <c r="L23" s="4">
        <v>21.74915664434722</v>
      </c>
      <c r="M23" s="4">
        <v>-9.1086361985483624</v>
      </c>
      <c r="N23" s="2116" t="str">
        <f>IF(       0.024&lt;0.01,"***",IF(       0.024&lt;0.05,"**",IF(       0.024&lt;0.1,"*","NS")))</f>
        <v>**</v>
      </c>
      <c r="P23" s="296" t="s">
        <v>2866</v>
      </c>
      <c r="Q23" s="4">
        <v>28.142280299553828</v>
      </c>
      <c r="R23" s="4">
        <v>21.74915664434722</v>
      </c>
      <c r="S23" s="4">
        <v>-6.3931236552066375</v>
      </c>
      <c r="T23" s="2117" t="str">
        <f>IF(       0.073&lt;0.01,"***",IF(       0.073&lt;0.05,"**",IF(       0.073&lt;0.1,"*","NS")))</f>
        <v>*</v>
      </c>
    </row>
    <row r="24" spans="1:20" x14ac:dyDescent="0.2">
      <c r="A24" s="296" t="s">
        <v>2644</v>
      </c>
      <c r="B24" s="4">
        <v>17.377090357954451</v>
      </c>
      <c r="C24" s="4">
        <v>9.5107238314928839</v>
      </c>
      <c r="D24" s="4">
        <v>-7.8663665264615874</v>
      </c>
      <c r="E24" s="2118" t="str">
        <f>IF(       0.002&lt;0.01,"***",IF(       0.002&lt;0.05,"**",IF(       0.002&lt;0.1,"*","NS")))</f>
        <v>***</v>
      </c>
      <c r="G24" s="296" t="s">
        <v>2748</v>
      </c>
      <c r="H24" s="4">
        <v>17.377090357954451</v>
      </c>
      <c r="I24" s="4">
        <v>11.02247484126201</v>
      </c>
      <c r="J24" s="4">
        <v>-6.3546155166924301</v>
      </c>
      <c r="K24" s="2119" t="str">
        <f>IF(       0.021&lt;0.01,"***",IF(       0.021&lt;0.05,"**",IF(       0.021&lt;0.1,"*","NS")))</f>
        <v>**</v>
      </c>
      <c r="L24" s="4">
        <v>5.4696852208174747</v>
      </c>
      <c r="M24" s="4">
        <v>-11.907405137136998</v>
      </c>
      <c r="N24" s="2120" t="str">
        <f>IF(       0.003&lt;0.01,"***",IF(       0.003&lt;0.05,"**",IF(       0.003&lt;0.1,"*","NS")))</f>
        <v>***</v>
      </c>
      <c r="P24" s="296" t="s">
        <v>2867</v>
      </c>
      <c r="Q24" s="4">
        <v>15.875163466202819</v>
      </c>
      <c r="R24" s="4">
        <v>5.4696852208174747</v>
      </c>
      <c r="S24" s="4">
        <v>-10.405478245385391</v>
      </c>
      <c r="T24" s="2121" t="str">
        <f>IF(       0.009&lt;0.01,"***",IF(       0.009&lt;0.05,"**",IF(       0.009&lt;0.1,"*","NS")))</f>
        <v>***</v>
      </c>
    </row>
    <row r="25" spans="1:20" x14ac:dyDescent="0.2">
      <c r="A25" s="296" t="s">
        <v>2645</v>
      </c>
      <c r="B25" s="4">
        <v>21.60693052155596</v>
      </c>
      <c r="C25" s="4">
        <v>21.330393565863471</v>
      </c>
      <c r="D25" s="4">
        <v>-0.27653695569250358</v>
      </c>
      <c r="E25" s="2122" t="str">
        <f>IF(       0.914&lt;0.01,"***",IF(       0.914&lt;0.05,"**",IF(       0.914&lt;0.1,"*","NS")))</f>
        <v>NS</v>
      </c>
      <c r="G25" s="296" t="s">
        <v>2749</v>
      </c>
      <c r="H25" s="4">
        <v>21.60693052155596</v>
      </c>
      <c r="I25" s="4">
        <v>23.042925933483669</v>
      </c>
      <c r="J25" s="4">
        <v>1.4359954119276521</v>
      </c>
      <c r="K25" s="2123" t="str">
        <f>IF(       0.572&lt;0.01,"***",IF(       0.572&lt;0.05,"**",IF(       0.572&lt;0.1,"*","NS")))</f>
        <v>NS</v>
      </c>
      <c r="L25" s="4">
        <v>15.30838638678846</v>
      </c>
      <c r="M25" s="4">
        <v>-6.2985441347675106</v>
      </c>
      <c r="N25" s="2124" t="str">
        <f>IF(       0.125&lt;0.01,"***",IF(       0.125&lt;0.05,"**",IF(       0.125&lt;0.1,"*","NS")))</f>
        <v>NS</v>
      </c>
      <c r="P25" s="296" t="s">
        <v>2868</v>
      </c>
      <c r="Q25" s="4">
        <v>22.044484940598561</v>
      </c>
      <c r="R25" s="4">
        <v>15.30838638678846</v>
      </c>
      <c r="S25" s="4">
        <v>-6.7360985538100957</v>
      </c>
      <c r="T25" s="2125" t="str">
        <f>IF(       0.076&lt;0.01,"***",IF(       0.076&lt;0.05,"**",IF(       0.076&lt;0.1,"*","NS")))</f>
        <v>*</v>
      </c>
    </row>
    <row r="26" spans="1:20" x14ac:dyDescent="0.2">
      <c r="A26" s="296" t="s">
        <v>2646</v>
      </c>
      <c r="B26" s="4">
        <v>23.71278350108701</v>
      </c>
      <c r="C26" s="4">
        <v>19.46473658260474</v>
      </c>
      <c r="D26" s="4">
        <v>-4.2480469184822693</v>
      </c>
      <c r="E26" s="2126" t="str">
        <f>IF(       0.204&lt;0.01,"***",IF(       0.204&lt;0.05,"**",IF(       0.204&lt;0.1,"*","NS")))</f>
        <v>NS</v>
      </c>
      <c r="G26" s="296" t="s">
        <v>2750</v>
      </c>
      <c r="H26" s="4">
        <v>23.71278350108701</v>
      </c>
      <c r="I26" s="4">
        <v>19.97141673999511</v>
      </c>
      <c r="J26" s="4">
        <v>-3.7413667610919163</v>
      </c>
      <c r="K26" s="2127" t="str">
        <f>IF(       0.25&lt;0.01,"***",IF(       0.25&lt;0.05,"**",IF(       0.25&lt;0.1,"*","NS")))</f>
        <v>NS</v>
      </c>
      <c r="L26" s="4">
        <v>17.22341628575354</v>
      </c>
      <c r="M26" s="4">
        <v>-6.4893672153334911</v>
      </c>
      <c r="N26" s="2128" t="str">
        <f>IF(       0.235&lt;0.01,"***",IF(       0.235&lt;0.05,"**",IF(       0.235&lt;0.1,"*","NS")))</f>
        <v>NS</v>
      </c>
      <c r="P26" s="296" t="s">
        <v>2869</v>
      </c>
      <c r="Q26" s="4">
        <v>22.711913626646009</v>
      </c>
      <c r="R26" s="4">
        <v>17.22341628575354</v>
      </c>
      <c r="S26" s="4">
        <v>-5.4884973408923772</v>
      </c>
      <c r="T26" s="2129" t="str">
        <f>IF(       0.27&lt;0.01,"***",IF(       0.27&lt;0.05,"**",IF(       0.27&lt;0.1,"*","NS")))</f>
        <v>NS</v>
      </c>
    </row>
    <row r="27" spans="1:20" x14ac:dyDescent="0.2">
      <c r="A27" s="296" t="s">
        <v>2647</v>
      </c>
      <c r="B27" s="4">
        <v>42.277246930884132</v>
      </c>
      <c r="C27" s="4">
        <v>30.09413615212118</v>
      </c>
      <c r="D27" s="4">
        <v>-12.183110778763066</v>
      </c>
      <c r="E27" s="2130" t="str">
        <f>IF(       0.002&lt;0.01,"***",IF(       0.002&lt;0.05,"**",IF(       0.002&lt;0.1,"*","NS")))</f>
        <v>***</v>
      </c>
      <c r="G27" s="296" t="s">
        <v>2751</v>
      </c>
      <c r="H27" s="4">
        <v>42.277246930884132</v>
      </c>
      <c r="I27" s="4">
        <v>31.670205008912738</v>
      </c>
      <c r="J27" s="4">
        <v>-10.607041921971401</v>
      </c>
      <c r="K27" s="2131" t="str">
        <f>IF(       0.011&lt;0.01,"***",IF(       0.011&lt;0.05,"**",IF(       0.011&lt;0.1,"*","NS")))</f>
        <v>**</v>
      </c>
      <c r="L27" s="4">
        <v>25.519973281528301</v>
      </c>
      <c r="M27" s="4">
        <v>-16.757273649355881</v>
      </c>
      <c r="N27" s="2132" t="str">
        <f>IF(       0&lt;0.01,"***",IF(       0&lt;0.05,"**",IF(       0&lt;0.1,"*","NS")))</f>
        <v>***</v>
      </c>
      <c r="P27" s="296" t="s">
        <v>2870</v>
      </c>
      <c r="Q27" s="4">
        <v>39.201364554852923</v>
      </c>
      <c r="R27" s="4">
        <v>25.519973281528301</v>
      </c>
      <c r="S27" s="4">
        <v>-13.681391273324573</v>
      </c>
      <c r="T27" s="2133" t="str">
        <f>IF(       0.001&lt;0.01,"***",IF(       0.001&lt;0.05,"**",IF(       0.001&lt;0.1,"*","NS")))</f>
        <v>***</v>
      </c>
    </row>
    <row r="28" spans="1:20" x14ac:dyDescent="0.2">
      <c r="A28" s="296" t="s">
        <v>2648</v>
      </c>
      <c r="B28" s="4">
        <v>93.324952194407658</v>
      </c>
      <c r="C28" s="4">
        <v>93.50234811568663</v>
      </c>
      <c r="D28" s="4">
        <v>0.17739592127897252</v>
      </c>
      <c r="E28" s="2134" t="str">
        <f>IF(       0.929&lt;0.01,"***",IF(       0.929&lt;0.05,"**",IF(       0.929&lt;0.1,"*","NS")))</f>
        <v>NS</v>
      </c>
      <c r="G28" s="296" t="s">
        <v>2752</v>
      </c>
      <c r="H28" s="4">
        <v>93.324952194407658</v>
      </c>
      <c r="I28" s="4">
        <v>93.286226063577629</v>
      </c>
      <c r="J28" s="4">
        <v>-3.8726130830023096E-2</v>
      </c>
      <c r="K28" s="2135" t="str">
        <f>IF(       0.986&lt;0.01,"***",IF(       0.986&lt;0.05,"**",IF(       0.986&lt;0.1,"*","NS")))</f>
        <v>NS</v>
      </c>
      <c r="L28" s="4">
        <v>94.428361431143614</v>
      </c>
      <c r="M28" s="4">
        <v>1.103409236735942</v>
      </c>
      <c r="N28" s="2136" t="str">
        <f>IF(       0.752&lt;0.01,"***",IF(       0.752&lt;0.05,"**",IF(       0.752&lt;0.1,"*","NS")))</f>
        <v>NS</v>
      </c>
      <c r="P28" s="296" t="s">
        <v>2871</v>
      </c>
      <c r="Q28" s="4">
        <v>93.318844879346983</v>
      </c>
      <c r="R28" s="4">
        <v>94.428361431143614</v>
      </c>
      <c r="S28" s="4">
        <v>1.1095165517965926</v>
      </c>
      <c r="T28" s="2137" t="str">
        <f>IF(       0.75&lt;0.01,"***",IF(       0.75&lt;0.05,"**",IF(       0.75&lt;0.1,"*","NS")))</f>
        <v>NS</v>
      </c>
    </row>
    <row r="29" spans="1:20" x14ac:dyDescent="0.2">
      <c r="A29" s="296" t="s">
        <v>2649</v>
      </c>
      <c r="B29" s="4">
        <v>3.015470784704589</v>
      </c>
      <c r="C29" s="4">
        <v>2.1771273912552251</v>
      </c>
      <c r="D29" s="4">
        <v>-0.83834339344936704</v>
      </c>
      <c r="E29" s="2138" t="str">
        <f>IF(       0.302&lt;0.01,"***",IF(       0.302&lt;0.05,"**",IF(       0.302&lt;0.1,"*","NS")))</f>
        <v>NS</v>
      </c>
      <c r="G29" s="296" t="s">
        <v>2753</v>
      </c>
      <c r="H29" s="4">
        <v>3.015470784704589</v>
      </c>
      <c r="I29" s="4">
        <v>2.386021686842315</v>
      </c>
      <c r="J29" s="4">
        <v>-0.62944909786227421</v>
      </c>
      <c r="K29" s="2139" t="str">
        <f>IF(       0.447&lt;0.01,"***",IF(       0.447&lt;0.05,"**",IF(       0.447&lt;0.1,"*","NS")))</f>
        <v>NS</v>
      </c>
      <c r="L29" s="4">
        <v>1.4473836644847009</v>
      </c>
      <c r="M29" s="4">
        <v>-1.5680871202198849</v>
      </c>
      <c r="N29" s="2140" t="str">
        <f>IF(       0.233&lt;0.01,"***",IF(       0.233&lt;0.05,"**",IF(       0.233&lt;0.1,"*","NS")))</f>
        <v>NS</v>
      </c>
      <c r="P29" s="296" t="s">
        <v>2872</v>
      </c>
      <c r="Q29" s="4">
        <v>2.8856554963906862</v>
      </c>
      <c r="R29" s="4">
        <v>1.4473836644847009</v>
      </c>
      <c r="S29" s="4">
        <v>-1.4382718319059786</v>
      </c>
      <c r="T29" s="2141" t="str">
        <f>IF(       0.251&lt;0.01,"***",IF(       0.251&lt;0.05,"**",IF(       0.251&lt;0.1,"*","NS")))</f>
        <v>NS</v>
      </c>
    </row>
    <row r="30" spans="1:20" x14ac:dyDescent="0.2">
      <c r="A30" s="296" t="s">
        <v>2650</v>
      </c>
      <c r="B30" s="4">
        <v>23.186943630904519</v>
      </c>
      <c r="C30" s="4">
        <v>16.5103501663346</v>
      </c>
      <c r="D30" s="4">
        <v>-6.6765934645698932</v>
      </c>
      <c r="E30" s="2142" t="str">
        <f>IF(       0.003&lt;0.01,"***",IF(       0.003&lt;0.05,"**",IF(       0.003&lt;0.1,"*","NS")))</f>
        <v>***</v>
      </c>
      <c r="G30" s="296" t="s">
        <v>2754</v>
      </c>
      <c r="H30" s="4">
        <v>23.186943630904519</v>
      </c>
      <c r="I30" s="4">
        <v>17.167458909748351</v>
      </c>
      <c r="J30" s="4">
        <v>-6.0194847211561582</v>
      </c>
      <c r="K30" s="2143" t="str">
        <f>IF(       0.006&lt;0.01,"***",IF(       0.006&lt;0.05,"**",IF(       0.006&lt;0.1,"*","NS")))</f>
        <v>***</v>
      </c>
      <c r="L30" s="4">
        <v>15.52839591196433</v>
      </c>
      <c r="M30" s="4">
        <v>-7.6585477189402074</v>
      </c>
      <c r="N30" s="2144" t="str">
        <f>IF(       0.011&lt;0.01,"***",IF(       0.011&lt;0.05,"**",IF(       0.011&lt;0.1,"*","NS")))</f>
        <v>**</v>
      </c>
      <c r="P30" s="296" t="s">
        <v>2873</v>
      </c>
      <c r="Q30" s="4">
        <v>20.911802923035289</v>
      </c>
      <c r="R30" s="4">
        <v>15.52839591196433</v>
      </c>
      <c r="S30" s="4">
        <v>-5.3834070110709638</v>
      </c>
      <c r="T30" s="2145" t="str">
        <f>IF(       0.036&lt;0.01,"***",IF(       0.036&lt;0.05,"**",IF(       0.036&lt;0.1,"*","NS")))</f>
        <v>**</v>
      </c>
    </row>
    <row r="31" spans="1:20" x14ac:dyDescent="0.2">
      <c r="A31" s="296" t="s">
        <v>2651</v>
      </c>
      <c r="B31" s="4">
        <v>18.076661222308061</v>
      </c>
      <c r="C31" s="4">
        <v>13.82681884220592</v>
      </c>
      <c r="D31" s="4">
        <v>-4.249842380102125</v>
      </c>
      <c r="E31" s="2146" t="str">
        <f>IF(       0.04&lt;0.01,"***",IF(       0.04&lt;0.05,"**",IF(       0.04&lt;0.1,"*","NS")))</f>
        <v>**</v>
      </c>
      <c r="G31" s="296" t="s">
        <v>2755</v>
      </c>
      <c r="H31" s="4">
        <v>18.076661222308061</v>
      </c>
      <c r="I31" s="4">
        <v>14.549456500284551</v>
      </c>
      <c r="J31" s="4">
        <v>-3.527204722023503</v>
      </c>
      <c r="K31" s="2147" t="str">
        <f>IF(       0.102&lt;0.01,"***",IF(       0.102&lt;0.05,"**",IF(       0.102&lt;0.1,"*","NS")))</f>
        <v>NS</v>
      </c>
      <c r="L31" s="4">
        <v>11.4659930452372</v>
      </c>
      <c r="M31" s="4">
        <v>-6.6106681770708544</v>
      </c>
      <c r="N31" s="2148" t="str">
        <f>IF(       0.037&lt;0.01,"***",IF(       0.037&lt;0.05,"**",IF(       0.037&lt;0.1,"*","NS")))</f>
        <v>**</v>
      </c>
      <c r="P31" s="296" t="s">
        <v>2874</v>
      </c>
      <c r="Q31" s="4">
        <v>16.64323198282155</v>
      </c>
      <c r="R31" s="4">
        <v>11.4659930452372</v>
      </c>
      <c r="S31" s="4">
        <v>-5.1772389375843302</v>
      </c>
      <c r="T31" s="2149" t="str">
        <f>IF(       0.078&lt;0.01,"***",IF(       0.078&lt;0.05,"**",IF(       0.078&lt;0.1,"*","NS")))</f>
        <v>*</v>
      </c>
    </row>
    <row r="32" spans="1:20" x14ac:dyDescent="0.2">
      <c r="A32" s="296" t="s">
        <v>2652</v>
      </c>
      <c r="B32" s="4">
        <v>52.316803604640981</v>
      </c>
      <c r="C32" s="4">
        <v>44.337248461371082</v>
      </c>
      <c r="D32" s="4">
        <v>-7.9795551432699989</v>
      </c>
      <c r="E32" s="2150" t="str">
        <f>IF(       0.007&lt;0.01,"***",IF(       0.007&lt;0.05,"**",IF(       0.007&lt;0.1,"*","NS")))</f>
        <v>***</v>
      </c>
      <c r="G32" s="296" t="s">
        <v>2756</v>
      </c>
      <c r="H32" s="4">
        <v>52.316803604640981</v>
      </c>
      <c r="I32" s="4">
        <v>43.92936595165687</v>
      </c>
      <c r="J32" s="4">
        <v>-8.3874376529841079</v>
      </c>
      <c r="K32" s="2151" t="str">
        <f>IF(       0.008&lt;0.01,"***",IF(       0.008&lt;0.05,"**",IF(       0.008&lt;0.1,"*","NS")))</f>
        <v>***</v>
      </c>
      <c r="L32" s="4">
        <v>45.394407536620648</v>
      </c>
      <c r="M32" s="4">
        <v>-6.9223960680202712</v>
      </c>
      <c r="N32" s="2152" t="str">
        <f>IF(       0.326&lt;0.01,"***",IF(       0.326&lt;0.05,"**",IF(       0.326&lt;0.1,"*","NS")))</f>
        <v>NS</v>
      </c>
      <c r="P32" s="296" t="s">
        <v>2875</v>
      </c>
      <c r="Q32" s="4">
        <v>50.121365590855248</v>
      </c>
      <c r="R32" s="4">
        <v>45.394407536620648</v>
      </c>
      <c r="S32" s="4">
        <v>-4.7269580542345633</v>
      </c>
      <c r="T32" s="2153" t="str">
        <f>IF(       0.506&lt;0.01,"***",IF(       0.506&lt;0.05,"**",IF(       0.506&lt;0.1,"*","NS")))</f>
        <v>NS</v>
      </c>
    </row>
    <row r="33" spans="1:20" x14ac:dyDescent="0.2">
      <c r="A33" s="296" t="s">
        <v>2653</v>
      </c>
      <c r="B33" s="4">
        <v>74.197367451638328</v>
      </c>
      <c r="C33" s="4">
        <v>52.378834278868887</v>
      </c>
      <c r="D33" s="4">
        <v>-21.818533172769676</v>
      </c>
      <c r="E33" s="2154" t="str">
        <f>IF(       0&lt;0.01,"***",IF(       0&lt;0.05,"**",IF(       0&lt;0.1,"*","NS")))</f>
        <v>***</v>
      </c>
      <c r="G33" s="296" t="s">
        <v>2757</v>
      </c>
      <c r="H33" s="4">
        <v>74.197367451638328</v>
      </c>
      <c r="I33" s="4">
        <v>55.477836984386983</v>
      </c>
      <c r="J33" s="4">
        <v>-18.719530467251214</v>
      </c>
      <c r="K33" s="2155" t="str">
        <f>IF(       0&lt;0.01,"***",IF(       0&lt;0.05,"**",IF(       0&lt;0.1,"*","NS")))</f>
        <v>***</v>
      </c>
      <c r="L33" s="4">
        <v>43.815762468643698</v>
      </c>
      <c r="M33" s="4">
        <v>-30.38160498299472</v>
      </c>
      <c r="N33" s="2156" t="str">
        <f>IF(       0&lt;0.01,"***",IF(       0&lt;0.05,"**",IF(       0&lt;0.1,"*","NS")))</f>
        <v>***</v>
      </c>
      <c r="P33" s="296" t="s">
        <v>2876</v>
      </c>
      <c r="Q33" s="4">
        <v>69.815554508888042</v>
      </c>
      <c r="R33" s="4">
        <v>43.815762468643698</v>
      </c>
      <c r="S33" s="4">
        <v>-25.999792040244614</v>
      </c>
      <c r="T33" s="2157" t="str">
        <f>IF(       0&lt;0.01,"***",IF(       0&lt;0.05,"**",IF(       0&lt;0.1,"*","NS")))</f>
        <v>***</v>
      </c>
    </row>
    <row r="34" spans="1:20" x14ac:dyDescent="0.2">
      <c r="A34" s="296" t="s">
        <v>2654</v>
      </c>
      <c r="B34" s="4">
        <v>29.121888776449779</v>
      </c>
      <c r="C34" s="4">
        <v>19.969598183718581</v>
      </c>
      <c r="D34" s="4">
        <v>-9.1522905927312195</v>
      </c>
      <c r="E34" s="2158" t="str">
        <f>IF(       0.008&lt;0.01,"***",IF(       0.008&lt;0.05,"**",IF(       0.008&lt;0.1,"*","NS")))</f>
        <v>***</v>
      </c>
      <c r="G34" s="296" t="s">
        <v>2758</v>
      </c>
      <c r="H34" s="4">
        <v>29.121888776449779</v>
      </c>
      <c r="I34" s="4">
        <v>19.681422443683608</v>
      </c>
      <c r="J34" s="4">
        <v>-9.4404663327661869</v>
      </c>
      <c r="K34" s="2159" t="str">
        <f>IF(       0.006&lt;0.01,"***",IF(       0.006&lt;0.05,"**",IF(       0.006&lt;0.1,"*","NS")))</f>
        <v>***</v>
      </c>
      <c r="L34" s="4">
        <v>20.924133609593419</v>
      </c>
      <c r="M34" s="4">
        <v>-8.1977551668563624</v>
      </c>
      <c r="N34" s="2160" t="str">
        <f>IF(       0.14&lt;0.01,"***",IF(       0.14&lt;0.05,"**",IF(       0.14&lt;0.1,"*","NS")))</f>
        <v>NS</v>
      </c>
      <c r="P34" s="296" t="s">
        <v>2877</v>
      </c>
      <c r="Q34" s="4">
        <v>26.759757021895521</v>
      </c>
      <c r="R34" s="4">
        <v>20.924133609593419</v>
      </c>
      <c r="S34" s="4">
        <v>-5.8356234123021444</v>
      </c>
      <c r="T34" s="2161" t="str">
        <f>IF(       0.26&lt;0.01,"***",IF(       0.26&lt;0.05,"**",IF(       0.26&lt;0.1,"*","NS")))</f>
        <v>NS</v>
      </c>
    </row>
    <row r="35" spans="1:20" x14ac:dyDescent="0.2">
      <c r="A35" s="296" t="s">
        <v>2655</v>
      </c>
      <c r="B35" s="4">
        <v>22.920158699325661</v>
      </c>
      <c r="C35" s="4">
        <v>16.735362499876949</v>
      </c>
      <c r="D35" s="4">
        <v>-6.1847961994487557</v>
      </c>
      <c r="E35" s="2162" t="str">
        <f>IF(       0.061&lt;0.01,"***",IF(       0.061&lt;0.05,"**",IF(       0.061&lt;0.1,"*","NS")))</f>
        <v>*</v>
      </c>
      <c r="G35" s="296" t="s">
        <v>2759</v>
      </c>
      <c r="H35" s="4">
        <v>22.920158699325661</v>
      </c>
      <c r="I35" s="4">
        <v>17.170590081359911</v>
      </c>
      <c r="J35" s="4">
        <v>-5.7495686179657746</v>
      </c>
      <c r="K35" s="2163" t="str">
        <f>IF(       0.082&lt;0.01,"***",IF(       0.082&lt;0.05,"**",IF(       0.082&lt;0.1,"*","NS")))</f>
        <v>*</v>
      </c>
      <c r="L35" s="4">
        <v>15.855525709561689</v>
      </c>
      <c r="M35" s="4">
        <v>-7.064632989763953</v>
      </c>
      <c r="N35" s="2164" t="str">
        <f>IF(       0.079&lt;0.01,"***",IF(       0.079&lt;0.05,"**",IF(       0.079&lt;0.1,"*","NS")))</f>
        <v>*</v>
      </c>
      <c r="P35" s="296" t="s">
        <v>2878</v>
      </c>
      <c r="Q35" s="4">
        <v>20.986081678229731</v>
      </c>
      <c r="R35" s="4">
        <v>15.855525709561689</v>
      </c>
      <c r="S35" s="4">
        <v>-5.1305559686680127</v>
      </c>
      <c r="T35" s="2165" t="str">
        <f>IF(       0.126&lt;0.01,"***",IF(       0.126&lt;0.05,"**",IF(       0.126&lt;0.1,"*","NS")))</f>
        <v>NS</v>
      </c>
    </row>
    <row r="36" spans="1:20" x14ac:dyDescent="0.2">
      <c r="A36" s="296" t="s">
        <v>2656</v>
      </c>
      <c r="B36" s="4">
        <v>17.87279927907862</v>
      </c>
      <c r="C36" s="4">
        <v>10.80197965237797</v>
      </c>
      <c r="D36" s="4">
        <v>-7.0708196267006684</v>
      </c>
      <c r="E36" s="2166" t="str">
        <f>IF(       0.017&lt;0.01,"***",IF(       0.017&lt;0.05,"**",IF(       0.017&lt;0.1,"*","NS")))</f>
        <v>**</v>
      </c>
      <c r="G36" s="296" t="s">
        <v>2760</v>
      </c>
      <c r="H36" s="4">
        <v>17.87279927907862</v>
      </c>
      <c r="I36" s="4">
        <v>11.81189245441222</v>
      </c>
      <c r="J36" s="4">
        <v>-6.0609068246664473</v>
      </c>
      <c r="K36" s="2167" t="str">
        <f>IF(       0.051&lt;0.01,"***",IF(       0.051&lt;0.05,"**",IF(       0.051&lt;0.1,"*","NS")))</f>
        <v>*</v>
      </c>
      <c r="L36" s="4">
        <v>7.1913815648898058</v>
      </c>
      <c r="M36" s="4">
        <v>-10.681417714188784</v>
      </c>
      <c r="N36" s="2168" t="str">
        <f>IF(       0.01&lt;0.01,"***",IF(       0.01&lt;0.05,"**",IF(       0.01&lt;0.1,"*","NS")))</f>
        <v>**</v>
      </c>
      <c r="P36" s="296" t="s">
        <v>2879</v>
      </c>
      <c r="Q36" s="4">
        <v>16.215869492420708</v>
      </c>
      <c r="R36" s="4">
        <v>7.1913815648898058</v>
      </c>
      <c r="S36" s="4">
        <v>-9.0244879275309433</v>
      </c>
      <c r="T36" s="2169" t="str">
        <f>IF(       0.021&lt;0.01,"***",IF(       0.021&lt;0.05,"**",IF(       0.021&lt;0.1,"*","NS")))</f>
        <v>**</v>
      </c>
    </row>
    <row r="37" spans="1:20" x14ac:dyDescent="0.2">
      <c r="A37" s="296" t="s">
        <v>5835</v>
      </c>
      <c r="B37" s="4">
        <v>38.641034367647222</v>
      </c>
      <c r="C37" s="4">
        <v>26.260364830072021</v>
      </c>
      <c r="D37" s="4">
        <v>-12.380669537575223</v>
      </c>
      <c r="E37" s="2170" t="str">
        <f>IF(       0&lt;0.01,"***",IF(       0&lt;0.05,"**",IF(       0&lt;0.1,"*","NS")))</f>
        <v>***</v>
      </c>
      <c r="G37" s="296" t="s">
        <v>5835</v>
      </c>
      <c r="H37" s="4">
        <v>38.641034367647222</v>
      </c>
      <c r="I37" s="4">
        <v>27.274694495113931</v>
      </c>
      <c r="J37" s="4">
        <v>-11.366339872533288</v>
      </c>
      <c r="K37" s="2171" t="str">
        <f>IF(       0&lt;0.01,"***",IF(       0&lt;0.05,"**",IF(       0&lt;0.1,"*","NS")))</f>
        <v>***</v>
      </c>
      <c r="L37" s="4">
        <v>23.41574195925724</v>
      </c>
      <c r="M37" s="4">
        <v>-15.225292408389812</v>
      </c>
      <c r="N37" s="2172" t="str">
        <f>IF(       0&lt;0.01,"***",IF(       0&lt;0.05,"**",IF(       0&lt;0.1,"*","NS")))</f>
        <v>***</v>
      </c>
      <c r="P37" s="296" t="s">
        <v>5835</v>
      </c>
      <c r="Q37" s="4">
        <v>35.411997148726677</v>
      </c>
      <c r="R37" s="4">
        <v>23.41574195925724</v>
      </c>
      <c r="S37" s="4">
        <v>-11.996255189469652</v>
      </c>
      <c r="T37" s="2173" t="str">
        <f>IF(       0&lt;0.01,"***",IF(       0&lt;0.05,"**",IF(       0&lt;0.1,"*","NS")))</f>
        <v>***</v>
      </c>
    </row>
    <row r="39" spans="1:20" x14ac:dyDescent="0.2">
      <c r="A39" s="296" t="s">
        <v>2657</v>
      </c>
      <c r="G39" s="296" t="s">
        <v>2761</v>
      </c>
      <c r="P39" s="296" t="s">
        <v>2880</v>
      </c>
    </row>
    <row r="40" spans="1:20" s="3" customFormat="1" x14ac:dyDescent="0.2">
      <c r="A40" s="5658" t="s">
        <v>2658</v>
      </c>
      <c r="B40" s="5659" t="s">
        <v>2659</v>
      </c>
      <c r="C40" s="5660" t="s">
        <v>2660</v>
      </c>
      <c r="D40" s="5661" t="s">
        <v>2661</v>
      </c>
      <c r="E40" s="5662" t="s">
        <v>2662</v>
      </c>
      <c r="G40" s="5663" t="s">
        <v>2762</v>
      </c>
      <c r="H40" s="5664" t="s">
        <v>2763</v>
      </c>
      <c r="I40" s="5665" t="s">
        <v>2764</v>
      </c>
      <c r="J40" s="5666" t="s">
        <v>2765</v>
      </c>
      <c r="K40" s="5667" t="s">
        <v>2766</v>
      </c>
      <c r="L40" s="5668" t="s">
        <v>2829</v>
      </c>
      <c r="M40" s="5669" t="s">
        <v>2830</v>
      </c>
      <c r="N40" s="5670" t="s">
        <v>2831</v>
      </c>
      <c r="P40" s="5671" t="s">
        <v>2881</v>
      </c>
      <c r="Q40" s="5672" t="s">
        <v>2882</v>
      </c>
      <c r="R40" s="5673" t="s">
        <v>2883</v>
      </c>
      <c r="S40" s="5674" t="s">
        <v>2884</v>
      </c>
      <c r="T40" s="5675" t="s">
        <v>2885</v>
      </c>
    </row>
    <row r="41" spans="1:20" x14ac:dyDescent="0.2">
      <c r="A41" s="296" t="s">
        <v>2663</v>
      </c>
      <c r="B41" s="4">
        <v>13.851395540210349</v>
      </c>
      <c r="C41" s="4">
        <v>10.75418115693134</v>
      </c>
      <c r="D41" s="4">
        <v>-3.0972143832789882</v>
      </c>
      <c r="E41" s="2174" t="str">
        <f>IF(       0.082&lt;0.01,"***",IF(       0.082&lt;0.05,"**",IF(       0.082&lt;0.1,"*","NS")))</f>
        <v>*</v>
      </c>
      <c r="G41" s="296" t="s">
        <v>2767</v>
      </c>
      <c r="H41" s="4">
        <v>13.851395540210349</v>
      </c>
      <c r="I41" s="4">
        <v>10.6504046373664</v>
      </c>
      <c r="J41" s="4">
        <v>-3.2009909028439427</v>
      </c>
      <c r="K41" s="2175" t="str">
        <f>IF(       0.062&lt;0.01,"***",IF(       0.062&lt;0.05,"**",IF(       0.062&lt;0.1,"*","NS")))</f>
        <v>*</v>
      </c>
      <c r="L41" s="4">
        <v>11.238320660053979</v>
      </c>
      <c r="M41" s="4">
        <v>-2.6130748801564017</v>
      </c>
      <c r="N41" s="2176" t="str">
        <f>IF(       0.586&lt;0.01,"***",IF(       0.586&lt;0.05,"**",IF(       0.586&lt;0.1,"*","NS")))</f>
        <v>NS</v>
      </c>
      <c r="P41" s="296" t="s">
        <v>2886</v>
      </c>
      <c r="Q41" s="4">
        <v>12.76806345314373</v>
      </c>
      <c r="R41" s="4">
        <v>11.238320660053979</v>
      </c>
      <c r="S41" s="4">
        <v>-1.5297427930897474</v>
      </c>
      <c r="T41" s="2177" t="str">
        <f>IF(       0.746&lt;0.01,"***",IF(       0.746&lt;0.05,"**",IF(       0.746&lt;0.1,"*","NS")))</f>
        <v>NS</v>
      </c>
    </row>
    <row r="42" spans="1:20" x14ac:dyDescent="0.2">
      <c r="A42" s="296" t="s">
        <v>2664</v>
      </c>
      <c r="B42" s="4">
        <v>32.59410130466901</v>
      </c>
      <c r="C42" s="4">
        <v>21.000592873306569</v>
      </c>
      <c r="D42" s="4">
        <v>-11.593508431362389</v>
      </c>
      <c r="E42" s="2178" t="str">
        <f>IF(       0&lt;0.01,"***",IF(       0&lt;0.05,"**",IF(       0&lt;0.1,"*","NS")))</f>
        <v>***</v>
      </c>
      <c r="G42" s="296" t="s">
        <v>2768</v>
      </c>
      <c r="H42" s="4">
        <v>32.59410130466901</v>
      </c>
      <c r="I42" s="4">
        <v>21.385262098870911</v>
      </c>
      <c r="J42" s="4">
        <v>-11.208839205798188</v>
      </c>
      <c r="K42" s="2179" t="str">
        <f>IF(       0.001&lt;0.01,"***",IF(       0.001&lt;0.05,"**",IF(       0.001&lt;0.1,"*","NS")))</f>
        <v>***</v>
      </c>
      <c r="L42" s="4">
        <v>19.963644122453811</v>
      </c>
      <c r="M42" s="4">
        <v>-12.630457182215169</v>
      </c>
      <c r="N42" s="2180" t="str">
        <f>IF(       0.011&lt;0.01,"***",IF(       0.011&lt;0.05,"**",IF(       0.011&lt;0.1,"*","NS")))</f>
        <v>**</v>
      </c>
      <c r="P42" s="296" t="s">
        <v>2887</v>
      </c>
      <c r="Q42" s="4">
        <v>29.907870201765519</v>
      </c>
      <c r="R42" s="4">
        <v>19.963644122453811</v>
      </c>
      <c r="S42" s="4">
        <v>-9.9442260793116972</v>
      </c>
      <c r="T42" s="2181" t="str">
        <f>IF(       0.038&lt;0.01,"***",IF(       0.038&lt;0.05,"**",IF(       0.038&lt;0.1,"*","NS")))</f>
        <v>**</v>
      </c>
    </row>
    <row r="43" spans="1:20" x14ac:dyDescent="0.2">
      <c r="A43" s="296" t="s">
        <v>2665</v>
      </c>
      <c r="B43" s="4">
        <v>15.35553327207456</v>
      </c>
      <c r="C43" s="4">
        <v>7.1774552999355166</v>
      </c>
      <c r="D43" s="4">
        <v>-8.1780779721390857</v>
      </c>
      <c r="E43" s="2182" t="str">
        <f>IF(       0.003&lt;0.01,"***",IF(       0.003&lt;0.05,"**",IF(       0.003&lt;0.1,"*","NS")))</f>
        <v>***</v>
      </c>
      <c r="G43" s="296" t="s">
        <v>2769</v>
      </c>
      <c r="H43" s="4">
        <v>15.35553327207456</v>
      </c>
      <c r="I43" s="4">
        <v>7.8635950456029118</v>
      </c>
      <c r="J43" s="4">
        <v>-7.4919382264716221</v>
      </c>
      <c r="K43" s="2183" t="str">
        <f>IF(       0.004&lt;0.01,"***",IF(       0.004&lt;0.05,"**",IF(       0.004&lt;0.1,"*","NS")))</f>
        <v>***</v>
      </c>
      <c r="L43" s="4">
        <v>4.7907041131696664</v>
      </c>
      <c r="M43" s="4">
        <v>-10.564829158904864</v>
      </c>
      <c r="N43" s="2184" t="str">
        <f>IF(       0.014&lt;0.01,"***",IF(       0.014&lt;0.05,"**",IF(       0.014&lt;0.1,"*","NS")))</f>
        <v>**</v>
      </c>
      <c r="P43" s="296" t="s">
        <v>2888</v>
      </c>
      <c r="Q43" s="4">
        <v>13.578082955919889</v>
      </c>
      <c r="R43" s="4">
        <v>4.7907041131696664</v>
      </c>
      <c r="S43" s="4">
        <v>-8.7873788427502237</v>
      </c>
      <c r="T43" s="2185" t="str">
        <f>IF(       0.024&lt;0.01,"***",IF(       0.024&lt;0.05,"**",IF(       0.024&lt;0.1,"*","NS")))</f>
        <v>**</v>
      </c>
    </row>
    <row r="44" spans="1:20" x14ac:dyDescent="0.2">
      <c r="A44" s="296" t="s">
        <v>2666</v>
      </c>
      <c r="B44" s="4">
        <v>23.789259615819361</v>
      </c>
      <c r="C44" s="4">
        <v>17.374581792550341</v>
      </c>
      <c r="D44" s="4">
        <v>-6.4146778232690069</v>
      </c>
      <c r="E44" s="2186" t="str">
        <f>IF(       0.016&lt;0.01,"***",IF(       0.016&lt;0.05,"**",IF(       0.016&lt;0.1,"*","NS")))</f>
        <v>**</v>
      </c>
      <c r="G44" s="296" t="s">
        <v>2770</v>
      </c>
      <c r="H44" s="4">
        <v>23.789259615819361</v>
      </c>
      <c r="I44" s="4">
        <v>17.52844990750037</v>
      </c>
      <c r="J44" s="4">
        <v>-6.2608097083189831</v>
      </c>
      <c r="K44" s="2187" t="str">
        <f>IF(       0.023&lt;0.01,"***",IF(       0.023&lt;0.05,"**",IF(       0.023&lt;0.1,"*","NS")))</f>
        <v>**</v>
      </c>
      <c r="L44" s="4">
        <v>16.732899931991739</v>
      </c>
      <c r="M44" s="4">
        <v>-7.0563596838276057</v>
      </c>
      <c r="N44" s="2188" t="str">
        <f>IF(       0.213&lt;0.01,"***",IF(       0.213&lt;0.05,"**",IF(       0.213&lt;0.1,"*","NS")))</f>
        <v>NS</v>
      </c>
      <c r="P44" s="296" t="s">
        <v>2889</v>
      </c>
      <c r="Q44" s="4">
        <v>22.038630277190041</v>
      </c>
      <c r="R44" s="4">
        <v>16.732899931991739</v>
      </c>
      <c r="S44" s="4">
        <v>-5.3057303451983042</v>
      </c>
      <c r="T44" s="2189" t="str">
        <f>IF(       0.341&lt;0.01,"***",IF(       0.341&lt;0.05,"**",IF(       0.341&lt;0.1,"*","NS")))</f>
        <v>NS</v>
      </c>
    </row>
    <row r="45" spans="1:20" x14ac:dyDescent="0.2">
      <c r="A45" s="296" t="s">
        <v>2667</v>
      </c>
      <c r="B45" s="4">
        <v>21.66728395693336</v>
      </c>
      <c r="C45" s="4">
        <v>16.304296032869619</v>
      </c>
      <c r="D45" s="4">
        <v>-5.3629879240637379</v>
      </c>
      <c r="E45" s="2190" t="str">
        <f>IF(       0.109&lt;0.01,"***",IF(       0.109&lt;0.05,"**",IF(       0.109&lt;0.1,"*","NS")))</f>
        <v>NS</v>
      </c>
      <c r="G45" s="296" t="s">
        <v>2771</v>
      </c>
      <c r="H45" s="4">
        <v>21.66728395693336</v>
      </c>
      <c r="I45" s="4">
        <v>16.0519700331159</v>
      </c>
      <c r="J45" s="4">
        <v>-5.6153139238174399</v>
      </c>
      <c r="K45" s="2191" t="str">
        <f>IF(       0.062&lt;0.01,"***",IF(       0.062&lt;0.05,"**",IF(       0.062&lt;0.1,"*","NS")))</f>
        <v>*</v>
      </c>
      <c r="L45" s="4">
        <v>17.59717004256968</v>
      </c>
      <c r="M45" s="4">
        <v>-4.0701139143636516</v>
      </c>
      <c r="N45" s="2192" t="str">
        <f>IF(       0.614&lt;0.01,"***",IF(       0.614&lt;0.05,"**",IF(       0.614&lt;0.1,"*","NS")))</f>
        <v>NS</v>
      </c>
      <c r="P45" s="296" t="s">
        <v>2890</v>
      </c>
      <c r="Q45" s="4">
        <v>20.203488495002748</v>
      </c>
      <c r="R45" s="4">
        <v>17.59717004256968</v>
      </c>
      <c r="S45" s="4">
        <v>-2.6063184524330612</v>
      </c>
      <c r="T45" s="2193" t="str">
        <f>IF(       0.736&lt;0.01,"***",IF(       0.736&lt;0.05,"**",IF(       0.736&lt;0.1,"*","NS")))</f>
        <v>NS</v>
      </c>
    </row>
    <row r="46" spans="1:20" x14ac:dyDescent="0.2">
      <c r="A46" s="296" t="s">
        <v>2668</v>
      </c>
      <c r="B46" s="4">
        <v>41.236847547775987</v>
      </c>
      <c r="C46" s="4">
        <v>31.399296144750799</v>
      </c>
      <c r="D46" s="4">
        <v>-9.837551403025163</v>
      </c>
      <c r="E46" s="2194" t="str">
        <f>IF(       0.002&lt;0.01,"***",IF(       0.002&lt;0.05,"**",IF(       0.002&lt;0.1,"*","NS")))</f>
        <v>***</v>
      </c>
      <c r="G46" s="296" t="s">
        <v>2772</v>
      </c>
      <c r="H46" s="4">
        <v>41.236847547775987</v>
      </c>
      <c r="I46" s="4">
        <v>33.852142806059149</v>
      </c>
      <c r="J46" s="4">
        <v>-7.3847047417168064</v>
      </c>
      <c r="K46" s="2195" t="str">
        <f>IF(       0.038&lt;0.01,"***",IF(       0.038&lt;0.05,"**",IF(       0.038&lt;0.1,"*","NS")))</f>
        <v>**</v>
      </c>
      <c r="L46" s="4">
        <v>22.85773506066581</v>
      </c>
      <c r="M46" s="4">
        <v>-18.379112487110088</v>
      </c>
      <c r="N46" s="2196" t="str">
        <f>IF(       0.001&lt;0.01,"***",IF(       0.001&lt;0.05,"**",IF(       0.001&lt;0.1,"*","NS")))</f>
        <v>***</v>
      </c>
      <c r="P46" s="296" t="s">
        <v>2891</v>
      </c>
      <c r="Q46" s="4">
        <v>39.249922806667897</v>
      </c>
      <c r="R46" s="4">
        <v>22.85773506066581</v>
      </c>
      <c r="S46" s="4">
        <v>-16.392187746001902</v>
      </c>
      <c r="T46" s="2197" t="str">
        <f>IF(       0.002&lt;0.01,"***",IF(       0.002&lt;0.05,"**",IF(       0.002&lt;0.1,"*","NS")))</f>
        <v>***</v>
      </c>
    </row>
    <row r="47" spans="1:20" x14ac:dyDescent="0.2">
      <c r="A47" s="296" t="s">
        <v>2669</v>
      </c>
      <c r="B47" s="4" t="s">
        <v>6067</v>
      </c>
      <c r="C47" s="4" t="s">
        <v>6067</v>
      </c>
      <c r="D47" s="4" t="s">
        <v>6067</v>
      </c>
      <c r="E47" s="4" t="s">
        <v>6067</v>
      </c>
      <c r="G47" s="296" t="s">
        <v>2773</v>
      </c>
      <c r="H47" s="4" t="s">
        <v>6067</v>
      </c>
      <c r="I47" s="4" t="s">
        <v>6067</v>
      </c>
      <c r="J47" s="4" t="s">
        <v>6067</v>
      </c>
      <c r="K47" s="4" t="s">
        <v>6067</v>
      </c>
      <c r="L47" s="4" t="s">
        <v>6067</v>
      </c>
      <c r="M47" s="4" t="s">
        <v>6067</v>
      </c>
      <c r="N47" s="4" t="s">
        <v>6067</v>
      </c>
      <c r="P47" s="296" t="s">
        <v>2892</v>
      </c>
      <c r="Q47" s="4" t="s">
        <v>6067</v>
      </c>
      <c r="R47" s="4" t="s">
        <v>6067</v>
      </c>
      <c r="S47" s="4" t="s">
        <v>6067</v>
      </c>
      <c r="T47" s="4" t="s">
        <v>6067</v>
      </c>
    </row>
    <row r="48" spans="1:20" x14ac:dyDescent="0.2">
      <c r="A48" s="296" t="s">
        <v>2670</v>
      </c>
      <c r="B48" s="4">
        <v>2.5549127802396412</v>
      </c>
      <c r="C48" s="4">
        <v>4.6125543620577094</v>
      </c>
      <c r="D48" s="4">
        <v>2.0576415818180545</v>
      </c>
      <c r="E48" s="2198" t="str">
        <f>IF(       0.369&lt;0.01,"***",IF(       0.369&lt;0.05,"**",IF(       0.369&lt;0.1,"*","NS")))</f>
        <v>NS</v>
      </c>
      <c r="G48" s="296" t="s">
        <v>2774</v>
      </c>
      <c r="H48" s="4">
        <v>2.5549127802396412</v>
      </c>
      <c r="I48" s="4">
        <v>5.5357111753492827</v>
      </c>
      <c r="J48" s="4">
        <v>2.9807983951096211</v>
      </c>
      <c r="K48" s="2199" t="str">
        <f>IF(       0.273&lt;0.01,"***",IF(       0.273&lt;0.05,"**",IF(       0.273&lt;0.1,"*","NS")))</f>
        <v>NS</v>
      </c>
      <c r="L48" s="4">
        <v>1.8533561360991351</v>
      </c>
      <c r="M48" s="4">
        <v>-0.70155664414050467</v>
      </c>
      <c r="N48" s="2200" t="str">
        <f>IF(       0.691&lt;0.01,"***",IF(       0.691&lt;0.05,"**",IF(       0.691&lt;0.1,"*","NS")))</f>
        <v>NS</v>
      </c>
      <c r="P48" s="296" t="s">
        <v>2893</v>
      </c>
      <c r="Q48" s="4">
        <v>3.0333850685079029</v>
      </c>
      <c r="R48" s="4">
        <v>1.8533561360991351</v>
      </c>
      <c r="S48" s="4">
        <v>-1.1800289324087745</v>
      </c>
      <c r="T48" s="2201" t="str">
        <f>IF(       0.452&lt;0.01,"***",IF(       0.452&lt;0.05,"**",IF(       0.452&lt;0.1,"*","NS")))</f>
        <v>NS</v>
      </c>
    </row>
    <row r="49" spans="1:20" x14ac:dyDescent="0.2">
      <c r="A49" s="296" t="s">
        <v>2671</v>
      </c>
      <c r="B49" s="4">
        <v>24.848441455647951</v>
      </c>
      <c r="C49" s="4">
        <v>17.309896573388549</v>
      </c>
      <c r="D49" s="4">
        <v>-7.5385448822593855</v>
      </c>
      <c r="E49" s="2202" t="str">
        <f>IF(       0.032&lt;0.01,"***",IF(       0.032&lt;0.05,"**",IF(       0.032&lt;0.1,"*","NS")))</f>
        <v>**</v>
      </c>
      <c r="G49" s="296" t="s">
        <v>2775</v>
      </c>
      <c r="H49" s="4">
        <v>24.848441455647951</v>
      </c>
      <c r="I49" s="4">
        <v>17.62600508522236</v>
      </c>
      <c r="J49" s="4">
        <v>-7.2224363704256067</v>
      </c>
      <c r="K49" s="2203" t="str">
        <f>IF(       0.057&lt;0.01,"***",IF(       0.057&lt;0.05,"**",IF(       0.057&lt;0.1,"*","NS")))</f>
        <v>*</v>
      </c>
      <c r="L49" s="4">
        <v>16.748407229061002</v>
      </c>
      <c r="M49" s="4">
        <v>-8.1000342265870007</v>
      </c>
      <c r="N49" s="2204" t="str">
        <f>IF(       0.049&lt;0.01,"***",IF(       0.049&lt;0.05,"**",IF(       0.049&lt;0.1,"*","NS")))</f>
        <v>**</v>
      </c>
      <c r="P49" s="296" t="s">
        <v>2894</v>
      </c>
      <c r="Q49" s="4">
        <v>22.712275239832039</v>
      </c>
      <c r="R49" s="4">
        <v>16.748407229061002</v>
      </c>
      <c r="S49" s="4">
        <v>-5.9638680107710371</v>
      </c>
      <c r="T49" s="2205" t="str">
        <f>IF(       0.093&lt;0.01,"***",IF(       0.093&lt;0.05,"**",IF(       0.093&lt;0.1,"*","NS")))</f>
        <v>*</v>
      </c>
    </row>
    <row r="50" spans="1:20" x14ac:dyDescent="0.2">
      <c r="A50" s="296" t="s">
        <v>2672</v>
      </c>
      <c r="B50" s="4">
        <v>16.397440241117799</v>
      </c>
      <c r="C50" s="4">
        <v>12.71070674536503</v>
      </c>
      <c r="D50" s="4">
        <v>-3.6867334957527742</v>
      </c>
      <c r="E50" s="2206" t="str">
        <f>IF(       0.05&lt;0.01,"***",IF(       0.05&lt;0.05,"**",IF(       0.05&lt;0.1,"*","NS")))</f>
        <v>*</v>
      </c>
      <c r="G50" s="296" t="s">
        <v>2776</v>
      </c>
      <c r="H50" s="4">
        <v>16.397440241117799</v>
      </c>
      <c r="I50" s="4">
        <v>13.4512869710528</v>
      </c>
      <c r="J50" s="4">
        <v>-2.9461532700649733</v>
      </c>
      <c r="K50" s="2207" t="str">
        <f>IF(       0.152&lt;0.01,"***",IF(       0.152&lt;0.05,"**",IF(       0.152&lt;0.1,"*","NS")))</f>
        <v>NS</v>
      </c>
      <c r="L50" s="4">
        <v>10.31795850452445</v>
      </c>
      <c r="M50" s="4">
        <v>-6.0794817365933502</v>
      </c>
      <c r="N50" s="2208" t="str">
        <f>IF(       0.006&lt;0.01,"***",IF(       0.006&lt;0.05,"**",IF(       0.006&lt;0.1,"*","NS")))</f>
        <v>***</v>
      </c>
      <c r="P50" s="296" t="s">
        <v>2895</v>
      </c>
      <c r="Q50" s="4">
        <v>15.322167608280029</v>
      </c>
      <c r="R50" s="4">
        <v>10.31795850452445</v>
      </c>
      <c r="S50" s="4">
        <v>-5.0042091037556249</v>
      </c>
      <c r="T50" s="2209" t="str">
        <f>IF(       0.011&lt;0.01,"***",IF(       0.011&lt;0.05,"**",IF(       0.011&lt;0.1,"*","NS")))</f>
        <v>**</v>
      </c>
    </row>
    <row r="51" spans="1:20" x14ac:dyDescent="0.2">
      <c r="A51" s="296" t="s">
        <v>2673</v>
      </c>
      <c r="B51" s="4">
        <v>48.899810184914827</v>
      </c>
      <c r="C51" s="4">
        <v>43.167515887519237</v>
      </c>
      <c r="D51" s="4">
        <v>-5.732294297395593</v>
      </c>
      <c r="E51" s="2210" t="str">
        <f>IF(       0.047&lt;0.01,"***",IF(       0.047&lt;0.05,"**",IF(       0.047&lt;0.1,"*","NS")))</f>
        <v>**</v>
      </c>
      <c r="G51" s="296" t="s">
        <v>2777</v>
      </c>
      <c r="H51" s="4">
        <v>48.899810184914827</v>
      </c>
      <c r="I51" s="4">
        <v>44.483948786442539</v>
      </c>
      <c r="J51" s="4">
        <v>-4.4158613984722912</v>
      </c>
      <c r="K51" s="2211" t="str">
        <f>IF(       0.15&lt;0.01,"***",IF(       0.15&lt;0.05,"**",IF(       0.15&lt;0.1,"*","NS")))</f>
        <v>NS</v>
      </c>
      <c r="L51" s="4">
        <v>39.413223324428493</v>
      </c>
      <c r="M51" s="4">
        <v>-9.4865868604863177</v>
      </c>
      <c r="N51" s="2212" t="str">
        <f>IF(       0.098&lt;0.01,"***",IF(       0.098&lt;0.05,"**",IF(       0.098&lt;0.1,"*","NS")))</f>
        <v>*</v>
      </c>
      <c r="P51" s="296" t="s">
        <v>2896</v>
      </c>
      <c r="Q51" s="4">
        <v>47.943454173778399</v>
      </c>
      <c r="R51" s="4">
        <v>39.413223324428493</v>
      </c>
      <c r="S51" s="4">
        <v>-8.5302308493498842</v>
      </c>
      <c r="T51" s="2213" t="str">
        <f>IF(       0.135&lt;0.01,"***",IF(       0.135&lt;0.05,"**",IF(       0.135&lt;0.1,"*","NS")))</f>
        <v>NS</v>
      </c>
    </row>
    <row r="52" spans="1:20" x14ac:dyDescent="0.2">
      <c r="A52" s="296" t="s">
        <v>2674</v>
      </c>
      <c r="B52" s="4">
        <v>69.130933449439212</v>
      </c>
      <c r="C52" s="4">
        <v>49.038726306314913</v>
      </c>
      <c r="D52" s="4">
        <v>-20.092207143124302</v>
      </c>
      <c r="E52" s="2214" t="str">
        <f>IF(       0&lt;0.01,"***",IF(       0&lt;0.05,"**",IF(       0&lt;0.1,"*","NS")))</f>
        <v>***</v>
      </c>
      <c r="G52" s="296" t="s">
        <v>2778</v>
      </c>
      <c r="H52" s="4">
        <v>69.130933449439212</v>
      </c>
      <c r="I52" s="4">
        <v>54.107954170110702</v>
      </c>
      <c r="J52" s="4">
        <v>-15.022979279328625</v>
      </c>
      <c r="K52" s="2215" t="str">
        <f>IF(       0&lt;0.01,"***",IF(       0&lt;0.05,"**",IF(       0&lt;0.1,"*","NS")))</f>
        <v>***</v>
      </c>
      <c r="L52" s="4">
        <v>32.665993436114029</v>
      </c>
      <c r="M52" s="4">
        <v>-36.464940013324842</v>
      </c>
      <c r="N52" s="2216" t="str">
        <f>IF(       0&lt;0.01,"***",IF(       0&lt;0.05,"**",IF(       0&lt;0.1,"*","NS")))</f>
        <v>***</v>
      </c>
      <c r="P52" s="296" t="s">
        <v>2897</v>
      </c>
      <c r="Q52" s="4">
        <v>66.15843234946297</v>
      </c>
      <c r="R52" s="4">
        <v>32.665993436114029</v>
      </c>
      <c r="S52" s="4">
        <v>-33.492438913349055</v>
      </c>
      <c r="T52" s="2217" t="str">
        <f>IF(       0&lt;0.01,"***",IF(       0&lt;0.05,"**",IF(       0&lt;0.1,"*","NS")))</f>
        <v>***</v>
      </c>
    </row>
    <row r="53" spans="1:20" x14ac:dyDescent="0.2">
      <c r="A53" s="296" t="s">
        <v>2675</v>
      </c>
      <c r="B53" s="4">
        <v>27.820062991046239</v>
      </c>
      <c r="C53" s="4">
        <v>20.650829012480319</v>
      </c>
      <c r="D53" s="4">
        <v>-7.1692339785658739</v>
      </c>
      <c r="E53" s="2218" t="str">
        <f>IF(       0.014&lt;0.01,"***",IF(       0.014&lt;0.05,"**",IF(       0.014&lt;0.1,"*","NS")))</f>
        <v>**</v>
      </c>
      <c r="G53" s="296" t="s">
        <v>2779</v>
      </c>
      <c r="H53" s="4">
        <v>27.820062991046239</v>
      </c>
      <c r="I53" s="4">
        <v>23.173643484719189</v>
      </c>
      <c r="J53" s="4">
        <v>-4.6464195063270415</v>
      </c>
      <c r="K53" s="2219" t="str">
        <f>IF(       0.146&lt;0.01,"***",IF(       0.146&lt;0.05,"**",IF(       0.146&lt;0.1,"*","NS")))</f>
        <v>NS</v>
      </c>
      <c r="L53" s="4">
        <v>13.714334381537119</v>
      </c>
      <c r="M53" s="4">
        <v>-14.105728609509137</v>
      </c>
      <c r="N53" s="2220" t="str">
        <f>IF(       0.001&lt;0.01,"***",IF(       0.001&lt;0.05,"**",IF(       0.001&lt;0.1,"*","NS")))</f>
        <v>***</v>
      </c>
      <c r="P53" s="296" t="s">
        <v>2898</v>
      </c>
      <c r="Q53" s="4">
        <v>26.915326182592921</v>
      </c>
      <c r="R53" s="4">
        <v>13.714334381537119</v>
      </c>
      <c r="S53" s="4">
        <v>-13.200991801055906</v>
      </c>
      <c r="T53" s="2221" t="str">
        <f>IF(       0.002&lt;0.01,"***",IF(       0.002&lt;0.05,"**",IF(       0.002&lt;0.1,"*","NS")))</f>
        <v>***</v>
      </c>
    </row>
    <row r="54" spans="1:20" x14ac:dyDescent="0.2">
      <c r="A54" s="296" t="s">
        <v>2676</v>
      </c>
      <c r="B54" s="4">
        <v>22.41122098251633</v>
      </c>
      <c r="C54" s="4">
        <v>15.54520128233071</v>
      </c>
      <c r="D54" s="4">
        <v>-6.86601970018559</v>
      </c>
      <c r="E54" s="2222" t="str">
        <f>IF(       0.009&lt;0.01,"***",IF(       0.009&lt;0.05,"**",IF(       0.009&lt;0.1,"*","NS")))</f>
        <v>***</v>
      </c>
      <c r="G54" s="296" t="s">
        <v>2780</v>
      </c>
      <c r="H54" s="4">
        <v>22.41122098251633</v>
      </c>
      <c r="I54" s="4">
        <v>16.204526015782509</v>
      </c>
      <c r="J54" s="4">
        <v>-6.2066949667337523</v>
      </c>
      <c r="K54" s="2223" t="str">
        <f>IF(       0.047&lt;0.01,"***",IF(       0.047&lt;0.05,"**",IF(       0.047&lt;0.1,"*","NS")))</f>
        <v>**</v>
      </c>
      <c r="L54" s="4">
        <v>13.918416708745299</v>
      </c>
      <c r="M54" s="4">
        <v>-8.4928042737710765</v>
      </c>
      <c r="N54" s="2224" t="str">
        <f>IF(       0.003&lt;0.01,"***",IF(       0.003&lt;0.05,"**",IF(       0.003&lt;0.1,"*","NS")))</f>
        <v>***</v>
      </c>
      <c r="P54" s="296" t="s">
        <v>2899</v>
      </c>
      <c r="Q54" s="4">
        <v>20.40518307239979</v>
      </c>
      <c r="R54" s="4">
        <v>13.918416708745299</v>
      </c>
      <c r="S54" s="4">
        <v>-6.4867663636545378</v>
      </c>
      <c r="T54" s="2225" t="str">
        <f>IF(       0.017&lt;0.01,"***",IF(       0.017&lt;0.05,"**",IF(       0.017&lt;0.1,"*","NS")))</f>
        <v>**</v>
      </c>
    </row>
    <row r="55" spans="1:20" x14ac:dyDescent="0.2">
      <c r="A55" s="296" t="s">
        <v>2677</v>
      </c>
      <c r="B55" s="4">
        <v>17.006335162255041</v>
      </c>
      <c r="C55" s="4">
        <v>12.91344848265839</v>
      </c>
      <c r="D55" s="4">
        <v>-4.0928866795966448</v>
      </c>
      <c r="E55" s="2226" t="str">
        <f>IF(       0.171&lt;0.01,"***",IF(       0.171&lt;0.05,"**",IF(       0.171&lt;0.1,"*","NS")))</f>
        <v>NS</v>
      </c>
      <c r="G55" s="296" t="s">
        <v>2781</v>
      </c>
      <c r="H55" s="4">
        <v>17.006335162255041</v>
      </c>
      <c r="I55" s="4">
        <v>11.739535037560049</v>
      </c>
      <c r="J55" s="4">
        <v>-5.2668001246949849</v>
      </c>
      <c r="K55" s="2227" t="str">
        <f>IF(       0.196&lt;0.01,"***",IF(       0.196&lt;0.05,"**",IF(       0.196&lt;0.1,"*","NS")))</f>
        <v>NS</v>
      </c>
      <c r="L55" s="4">
        <v>16.104555287123851</v>
      </c>
      <c r="M55" s="4">
        <v>-0.90177987513119928</v>
      </c>
      <c r="N55" s="2228" t="str">
        <f>IF(       0.779&lt;0.01,"***",IF(       0.779&lt;0.05,"**",IF(       0.779&lt;0.1,"*","NS")))</f>
        <v>NS</v>
      </c>
      <c r="P55" s="296" t="s">
        <v>2900</v>
      </c>
      <c r="Q55" s="4">
        <v>15.72704467216295</v>
      </c>
      <c r="R55" s="4">
        <v>16.104555287123851</v>
      </c>
      <c r="S55" s="4">
        <v>0.3775106149609046</v>
      </c>
      <c r="T55" s="2229" t="str">
        <f>IF(       0.912&lt;0.01,"***",IF(       0.912&lt;0.05,"**",IF(       0.912&lt;0.1,"*","NS")))</f>
        <v>NS</v>
      </c>
    </row>
    <row r="56" spans="1:20" x14ac:dyDescent="0.2">
      <c r="A56" s="296" t="s">
        <v>5835</v>
      </c>
      <c r="B56" s="4">
        <v>37.217020244191183</v>
      </c>
      <c r="C56" s="4">
        <v>24.998644517458811</v>
      </c>
      <c r="D56" s="4">
        <v>-12.218375726732898</v>
      </c>
      <c r="E56" s="2230" t="str">
        <f>IF(       0&lt;0.01,"***",IF(       0&lt;0.05,"**",IF(       0&lt;0.1,"*","NS")))</f>
        <v>***</v>
      </c>
      <c r="G56" s="296" t="s">
        <v>5835</v>
      </c>
      <c r="H56" s="4">
        <v>37.217020244191183</v>
      </c>
      <c r="I56" s="4">
        <v>26.28446113406083</v>
      </c>
      <c r="J56" s="4">
        <v>-10.932559110130409</v>
      </c>
      <c r="K56" s="2231" t="str">
        <f>IF(       0&lt;0.01,"***",IF(       0&lt;0.05,"**",IF(       0&lt;0.1,"*","NS")))</f>
        <v>***</v>
      </c>
      <c r="L56" s="4">
        <v>20.97761519806344</v>
      </c>
      <c r="M56" s="4">
        <v>-16.239405046127747</v>
      </c>
      <c r="N56" s="2232" t="str">
        <f>IF(       0&lt;0.01,"***",IF(       0&lt;0.05,"**",IF(       0&lt;0.1,"*","NS")))</f>
        <v>***</v>
      </c>
      <c r="P56" s="296" t="s">
        <v>5835</v>
      </c>
      <c r="Q56" s="4">
        <v>34.500924471591368</v>
      </c>
      <c r="R56" s="4">
        <v>20.97761519806344</v>
      </c>
      <c r="S56" s="4">
        <v>-13.523309273526831</v>
      </c>
      <c r="T56" s="2233" t="str">
        <f>IF(       0&lt;0.01,"***",IF(       0&lt;0.05,"**",IF(       0&lt;0.1,"*","NS")))</f>
        <v>***</v>
      </c>
    </row>
    <row r="58" spans="1:20" x14ac:dyDescent="0.2">
      <c r="A58" s="296" t="s">
        <v>2678</v>
      </c>
      <c r="G58" s="296" t="s">
        <v>2782</v>
      </c>
      <c r="P58" s="296" t="s">
        <v>2901</v>
      </c>
    </row>
    <row r="59" spans="1:20" s="3" customFormat="1" x14ac:dyDescent="0.2">
      <c r="A59" s="5676" t="s">
        <v>2679</v>
      </c>
      <c r="B59" s="5677" t="s">
        <v>2680</v>
      </c>
      <c r="C59" s="5678" t="s">
        <v>2681</v>
      </c>
      <c r="D59" s="5679" t="s">
        <v>2682</v>
      </c>
      <c r="E59" s="5680" t="s">
        <v>2683</v>
      </c>
      <c r="G59" s="5681" t="s">
        <v>2783</v>
      </c>
      <c r="H59" s="5682" t="s">
        <v>2784</v>
      </c>
      <c r="I59" s="5683" t="s">
        <v>2785</v>
      </c>
      <c r="J59" s="5684" t="s">
        <v>2786</v>
      </c>
      <c r="K59" s="5685" t="s">
        <v>2787</v>
      </c>
      <c r="L59" s="5686" t="s">
        <v>2832</v>
      </c>
      <c r="M59" s="5687" t="s">
        <v>2833</v>
      </c>
      <c r="N59" s="5688" t="s">
        <v>2834</v>
      </c>
      <c r="P59" s="5689" t="s">
        <v>2902</v>
      </c>
      <c r="Q59" s="5690" t="s">
        <v>2903</v>
      </c>
      <c r="R59" s="5691" t="s">
        <v>2904</v>
      </c>
      <c r="S59" s="5692" t="s">
        <v>2905</v>
      </c>
      <c r="T59" s="5693" t="s">
        <v>2906</v>
      </c>
    </row>
    <row r="60" spans="1:20" x14ac:dyDescent="0.2">
      <c r="A60" s="296" t="s">
        <v>2684</v>
      </c>
      <c r="B60" s="4">
        <v>6.8811847424147503</v>
      </c>
      <c r="C60" s="4">
        <v>5.1065567430684071</v>
      </c>
      <c r="D60" s="4">
        <v>-1.7746279993463587</v>
      </c>
      <c r="E60" s="2234" t="str">
        <f>IF(       0.088&lt;0.01,"***",IF(       0.088&lt;0.05,"**",IF(       0.088&lt;0.1,"*","NS")))</f>
        <v>*</v>
      </c>
      <c r="G60" s="296" t="s">
        <v>2788</v>
      </c>
      <c r="H60" s="4">
        <v>6.8811847424147503</v>
      </c>
      <c r="I60" s="4">
        <v>5.5156706858214823</v>
      </c>
      <c r="J60" s="4">
        <v>-1.3655140565932735</v>
      </c>
      <c r="K60" s="2235" t="str">
        <f>IF(       0.172&lt;0.01,"***",IF(       0.172&lt;0.05,"**",IF(       0.172&lt;0.1,"*","NS")))</f>
        <v>NS</v>
      </c>
      <c r="L60" s="4">
        <v>3.485101497971133</v>
      </c>
      <c r="M60" s="4">
        <v>-3.3960832444436084</v>
      </c>
      <c r="N60" s="2236" t="str">
        <f>IF(       0.097&lt;0.01,"***",IF(       0.097&lt;0.05,"**",IF(       0.097&lt;0.1,"*","NS")))</f>
        <v>*</v>
      </c>
      <c r="P60" s="296" t="s">
        <v>2907</v>
      </c>
      <c r="Q60" s="4">
        <v>6.376389112129127</v>
      </c>
      <c r="R60" s="4">
        <v>3.485101497971133</v>
      </c>
      <c r="S60" s="4">
        <v>-2.8912876141579726</v>
      </c>
      <c r="T60" s="2237" t="str">
        <f>IF(       0.128&lt;0.01,"***",IF(       0.128&lt;0.05,"**",IF(       0.128&lt;0.1,"*","NS")))</f>
        <v>NS</v>
      </c>
    </row>
    <row r="61" spans="1:20" x14ac:dyDescent="0.2">
      <c r="A61" s="296" t="s">
        <v>2685</v>
      </c>
      <c r="B61" s="4">
        <v>23.86925913907664</v>
      </c>
      <c r="C61" s="4">
        <v>19.512682979611569</v>
      </c>
      <c r="D61" s="4">
        <v>-4.35657615946511</v>
      </c>
      <c r="E61" s="2238" t="str">
        <f>IF(       0.009&lt;0.01,"***",IF(       0.009&lt;0.05,"**",IF(       0.009&lt;0.1,"*","NS")))</f>
        <v>***</v>
      </c>
      <c r="G61" s="296" t="s">
        <v>2789</v>
      </c>
      <c r="H61" s="4">
        <v>23.86925913907664</v>
      </c>
      <c r="I61" s="4">
        <v>19.643553921715331</v>
      </c>
      <c r="J61" s="4">
        <v>-4.2257052173613241</v>
      </c>
      <c r="K61" s="2239" t="str">
        <f>IF(       0.037&lt;0.01,"***",IF(       0.037&lt;0.05,"**",IF(       0.037&lt;0.1,"*","NS")))</f>
        <v>**</v>
      </c>
      <c r="L61" s="4">
        <v>19.17200414320185</v>
      </c>
      <c r="M61" s="4">
        <v>-4.6972549958747845</v>
      </c>
      <c r="N61" s="2240" t="str">
        <f>IF(       0.092&lt;0.01,"***",IF(       0.092&lt;0.05,"**",IF(       0.092&lt;0.1,"*","NS")))</f>
        <v>*</v>
      </c>
      <c r="P61" s="296" t="s">
        <v>2908</v>
      </c>
      <c r="Q61" s="4">
        <v>22.566522494198459</v>
      </c>
      <c r="R61" s="4">
        <v>19.17200414320185</v>
      </c>
      <c r="S61" s="4">
        <v>-3.3945183509966896</v>
      </c>
      <c r="T61" s="2241" t="str">
        <f>IF(       0.238&lt;0.01,"***",IF(       0.238&lt;0.05,"**",IF(       0.238&lt;0.1,"*","NS")))</f>
        <v>NS</v>
      </c>
    </row>
    <row r="62" spans="1:20" x14ac:dyDescent="0.2">
      <c r="A62" s="296" t="s">
        <v>2686</v>
      </c>
      <c r="B62" s="4">
        <v>9.0863271974122028</v>
      </c>
      <c r="C62" s="4">
        <v>5.6192319233086296</v>
      </c>
      <c r="D62" s="4">
        <v>-3.4670952741035648</v>
      </c>
      <c r="E62" s="2242" t="str">
        <f>IF(       0.025&lt;0.01,"***",IF(       0.025&lt;0.05,"**",IF(       0.025&lt;0.1,"*","NS")))</f>
        <v>**</v>
      </c>
      <c r="G62" s="296" t="s">
        <v>2790</v>
      </c>
      <c r="H62" s="4">
        <v>9.0863271974122028</v>
      </c>
      <c r="I62" s="4">
        <v>6.4876162176110146</v>
      </c>
      <c r="J62" s="4">
        <v>-2.5987109798011998</v>
      </c>
      <c r="K62" s="2243" t="str">
        <f>IF(       0.113&lt;0.01,"***",IF(       0.113&lt;0.05,"**",IF(       0.113&lt;0.1,"*","NS")))</f>
        <v>NS</v>
      </c>
      <c r="L62" s="4">
        <v>3.0356611221083631</v>
      </c>
      <c r="M62" s="4">
        <v>-6.0506660753038188</v>
      </c>
      <c r="N62" s="2244" t="str">
        <f>IF(       0.001&lt;0.01,"***",IF(       0.001&lt;0.05,"**",IF(       0.001&lt;0.1,"*","NS")))</f>
        <v>***</v>
      </c>
      <c r="P62" s="296" t="s">
        <v>2909</v>
      </c>
      <c r="Q62" s="4">
        <v>8.4235265179379599</v>
      </c>
      <c r="R62" s="4">
        <v>3.0356611221083631</v>
      </c>
      <c r="S62" s="4">
        <v>-5.3878653958295244</v>
      </c>
      <c r="T62" s="2245" t="str">
        <f>IF(       0.001&lt;0.01,"***",IF(       0.001&lt;0.05,"**",IF(       0.001&lt;0.1,"*","NS")))</f>
        <v>***</v>
      </c>
    </row>
    <row r="63" spans="1:20" x14ac:dyDescent="0.2">
      <c r="A63" s="296" t="s">
        <v>2687</v>
      </c>
      <c r="B63" s="4">
        <v>14.96991841646313</v>
      </c>
      <c r="C63" s="4">
        <v>15.79932101152176</v>
      </c>
      <c r="D63" s="4">
        <v>0.82940259505861658</v>
      </c>
      <c r="E63" s="2246" t="str">
        <f>IF(       0.597&lt;0.01,"***",IF(       0.597&lt;0.05,"**",IF(       0.597&lt;0.1,"*","NS")))</f>
        <v>NS</v>
      </c>
      <c r="G63" s="296" t="s">
        <v>2791</v>
      </c>
      <c r="H63" s="4">
        <v>14.96991841646313</v>
      </c>
      <c r="I63" s="4">
        <v>16.401390545150111</v>
      </c>
      <c r="J63" s="4">
        <v>1.4314721286869843</v>
      </c>
      <c r="K63" s="2247" t="str">
        <f>IF(       0.36&lt;0.01,"***",IF(       0.36&lt;0.05,"**",IF(       0.36&lt;0.1,"*","NS")))</f>
        <v>NS</v>
      </c>
      <c r="L63" s="4">
        <v>13.63428400535334</v>
      </c>
      <c r="M63" s="4">
        <v>-1.3356344111098155</v>
      </c>
      <c r="N63" s="2248" t="str">
        <f>IF(       0.664&lt;0.01,"***",IF(       0.664&lt;0.05,"**",IF(       0.664&lt;0.1,"*","NS")))</f>
        <v>NS</v>
      </c>
      <c r="P63" s="296" t="s">
        <v>2910</v>
      </c>
      <c r="Q63" s="4">
        <v>15.40384244357125</v>
      </c>
      <c r="R63" s="4">
        <v>13.63428400535334</v>
      </c>
      <c r="S63" s="4">
        <v>-1.7695584382178808</v>
      </c>
      <c r="T63" s="2249" t="str">
        <f>IF(       0.55&lt;0.01,"***",IF(       0.55&lt;0.05,"**",IF(       0.55&lt;0.1,"*","NS")))</f>
        <v>NS</v>
      </c>
    </row>
    <row r="64" spans="1:20" x14ac:dyDescent="0.2">
      <c r="A64" s="296" t="s">
        <v>2688</v>
      </c>
      <c r="B64" s="4">
        <v>12.1114470522138</v>
      </c>
      <c r="C64" s="4">
        <v>12.284750565499341</v>
      </c>
      <c r="D64" s="4">
        <v>0.1733035132855541</v>
      </c>
      <c r="E64" s="2250" t="str">
        <f>IF(       0.945&lt;0.01,"***",IF(       0.945&lt;0.05,"**",IF(       0.945&lt;0.1,"*","NS")))</f>
        <v>NS</v>
      </c>
      <c r="G64" s="296" t="s">
        <v>2792</v>
      </c>
      <c r="H64" s="4">
        <v>12.1114470522138</v>
      </c>
      <c r="I64" s="4">
        <v>12.3017857324259</v>
      </c>
      <c r="J64" s="4">
        <v>0.1903386802121019</v>
      </c>
      <c r="K64" s="2251" t="str">
        <f>IF(       0.933&lt;0.01,"***",IF(       0.933&lt;0.05,"**",IF(       0.933&lt;0.1,"*","NS")))</f>
        <v>NS</v>
      </c>
      <c r="L64" s="4">
        <v>12.205019715457681</v>
      </c>
      <c r="M64" s="4">
        <v>9.3572663243880597E-2</v>
      </c>
      <c r="N64" s="2252" t="str">
        <f>IF(       0.984&lt;0.01,"***",IF(       0.984&lt;0.05,"**",IF(       0.984&lt;0.1,"*","NS")))</f>
        <v>NS</v>
      </c>
      <c r="P64" s="296" t="s">
        <v>2911</v>
      </c>
      <c r="Q64" s="4">
        <v>12.164395311756239</v>
      </c>
      <c r="R64" s="4">
        <v>12.205019715457681</v>
      </c>
      <c r="S64" s="4">
        <v>4.0624403701415644E-2</v>
      </c>
      <c r="T64" s="2253" t="str">
        <f>IF(       0.992&lt;0.01,"***",IF(       0.992&lt;0.05,"**",IF(       0.992&lt;0.1,"*","NS")))</f>
        <v>NS</v>
      </c>
    </row>
    <row r="65" spans="1:20" x14ac:dyDescent="0.2">
      <c r="A65" s="296" t="s">
        <v>2689</v>
      </c>
      <c r="B65" s="4">
        <v>32.546354687338038</v>
      </c>
      <c r="C65" s="4">
        <v>25.899852746838349</v>
      </c>
      <c r="D65" s="4">
        <v>-6.6465019404997241</v>
      </c>
      <c r="E65" s="2254" t="str">
        <f>IF(       0.015&lt;0.01,"***",IF(       0.015&lt;0.05,"**",IF(       0.015&lt;0.1,"*","NS")))</f>
        <v>**</v>
      </c>
      <c r="G65" s="296" t="s">
        <v>2793</v>
      </c>
      <c r="H65" s="4">
        <v>32.546354687338038</v>
      </c>
      <c r="I65" s="4">
        <v>27.833588220311999</v>
      </c>
      <c r="J65" s="4">
        <v>-4.712766467026138</v>
      </c>
      <c r="K65" s="2255" t="str">
        <f>IF(       0.12&lt;0.01,"***",IF(       0.12&lt;0.05,"**",IF(       0.12&lt;0.1,"*","NS")))</f>
        <v>NS</v>
      </c>
      <c r="L65" s="4">
        <v>19.95059616145365</v>
      </c>
      <c r="M65" s="4">
        <v>-12.595758525884563</v>
      </c>
      <c r="N65" s="2256" t="str">
        <f>IF(       0&lt;0.01,"***",IF(       0&lt;0.05,"**",IF(       0&lt;0.1,"*","NS")))</f>
        <v>***</v>
      </c>
      <c r="P65" s="296" t="s">
        <v>2912</v>
      </c>
      <c r="Q65" s="4">
        <v>31.168221275371899</v>
      </c>
      <c r="R65" s="4">
        <v>19.95059616145365</v>
      </c>
      <c r="S65" s="4">
        <v>-11.217625113918428</v>
      </c>
      <c r="T65" s="2257" t="str">
        <f>IF(       0.001&lt;0.01,"***",IF(       0.001&lt;0.05,"**",IF(       0.001&lt;0.1,"*","NS")))</f>
        <v>***</v>
      </c>
    </row>
    <row r="66" spans="1:20" x14ac:dyDescent="0.2">
      <c r="A66" s="296" t="s">
        <v>12</v>
      </c>
      <c r="B66" s="4" t="s">
        <v>6067</v>
      </c>
      <c r="C66" s="4" t="s">
        <v>6067</v>
      </c>
      <c r="D66" s="4" t="s">
        <v>6067</v>
      </c>
      <c r="E66" s="4" t="s">
        <v>6067</v>
      </c>
      <c r="G66" s="296" t="s">
        <v>12</v>
      </c>
      <c r="H66" s="4" t="s">
        <v>6067</v>
      </c>
      <c r="I66" s="4" t="s">
        <v>6067</v>
      </c>
      <c r="J66" s="4" t="s">
        <v>6067</v>
      </c>
      <c r="K66" s="4" t="s">
        <v>6067</v>
      </c>
      <c r="L66" s="4" t="s">
        <v>6067</v>
      </c>
      <c r="M66" s="4" t="s">
        <v>6067</v>
      </c>
      <c r="N66" s="4" t="s">
        <v>6067</v>
      </c>
      <c r="P66" s="296" t="s">
        <v>12</v>
      </c>
      <c r="Q66" s="4" t="s">
        <v>6067</v>
      </c>
      <c r="R66" s="4" t="s">
        <v>6067</v>
      </c>
      <c r="S66" s="4" t="s">
        <v>6067</v>
      </c>
      <c r="T66" s="4" t="s">
        <v>6067</v>
      </c>
    </row>
    <row r="67" spans="1:20" x14ac:dyDescent="0.2">
      <c r="A67" s="296" t="s">
        <v>2690</v>
      </c>
      <c r="B67" s="4">
        <v>2.922632188682925</v>
      </c>
      <c r="C67" s="4">
        <v>3.5045054113233252</v>
      </c>
      <c r="D67" s="4">
        <v>0.5818732226403982</v>
      </c>
      <c r="E67" s="2258" t="str">
        <f>IF(       0.687&lt;0.01,"***",IF(       0.687&lt;0.05,"**",IF(       0.687&lt;0.1,"*","NS")))</f>
        <v>NS</v>
      </c>
      <c r="G67" s="296" t="s">
        <v>2794</v>
      </c>
      <c r="H67" s="4">
        <v>2.922632188682925</v>
      </c>
      <c r="I67" s="4">
        <v>4.0325118590960276</v>
      </c>
      <c r="J67" s="4">
        <v>1.1098796704131149</v>
      </c>
      <c r="K67" s="2259" t="str">
        <f>IF(       0.47&lt;0.01,"***",IF(       0.47&lt;0.05,"**",IF(       0.47&lt;0.1,"*","NS")))</f>
        <v>NS</v>
      </c>
      <c r="L67" s="4">
        <v>1.8876429789318681</v>
      </c>
      <c r="M67" s="4">
        <v>-1.0349892097510303</v>
      </c>
      <c r="N67" s="2260" t="str">
        <f>IF(       0.543&lt;0.01,"***",IF(       0.543&lt;0.05,"**",IF(       0.543&lt;0.1,"*","NS")))</f>
        <v>NS</v>
      </c>
      <c r="P67" s="296" t="s">
        <v>2913</v>
      </c>
      <c r="Q67" s="4">
        <v>3.1239145182258561</v>
      </c>
      <c r="R67" s="4">
        <v>1.8876429789318681</v>
      </c>
      <c r="S67" s="4">
        <v>-1.2362715392939823</v>
      </c>
      <c r="T67" s="2261" t="str">
        <f>IF(       0.422&lt;0.01,"***",IF(       0.422&lt;0.05,"**",IF(       0.422&lt;0.1,"*","NS")))</f>
        <v>NS</v>
      </c>
    </row>
    <row r="68" spans="1:20" x14ac:dyDescent="0.2">
      <c r="A68" s="296" t="s">
        <v>2691</v>
      </c>
      <c r="B68" s="4">
        <v>16.062818692874249</v>
      </c>
      <c r="C68" s="4">
        <v>13.31256054746154</v>
      </c>
      <c r="D68" s="4">
        <v>-2.7502581454127442</v>
      </c>
      <c r="E68" s="2262" t="str">
        <f>IF(       0.114&lt;0.01,"***",IF(       0.114&lt;0.05,"**",IF(       0.114&lt;0.1,"*","NS")))</f>
        <v>NS</v>
      </c>
      <c r="G68" s="296" t="s">
        <v>2795</v>
      </c>
      <c r="H68" s="4">
        <v>16.062818692874249</v>
      </c>
      <c r="I68" s="4">
        <v>12.79944324344539</v>
      </c>
      <c r="J68" s="4">
        <v>-3.2633754494288869</v>
      </c>
      <c r="K68" s="2263" t="str">
        <f>IF(       0.07&lt;0.01,"***",IF(       0.07&lt;0.05,"**",IF(       0.07&lt;0.1,"*","NS")))</f>
        <v>*</v>
      </c>
      <c r="L68" s="4">
        <v>14.11181803973918</v>
      </c>
      <c r="M68" s="4">
        <v>-1.9510006531351121</v>
      </c>
      <c r="N68" s="2264" t="str">
        <f>IF(       0.384&lt;0.01,"***",IF(       0.384&lt;0.05,"**",IF(       0.384&lt;0.1,"*","NS")))</f>
        <v>NS</v>
      </c>
      <c r="P68" s="296" t="s">
        <v>2914</v>
      </c>
      <c r="Q68" s="4">
        <v>14.899707826607269</v>
      </c>
      <c r="R68" s="4">
        <v>14.11181803973918</v>
      </c>
      <c r="S68" s="4">
        <v>-0.78788978686809064</v>
      </c>
      <c r="T68" s="2265" t="str">
        <f>IF(       0.688&lt;0.01,"***",IF(       0.688&lt;0.05,"**",IF(       0.688&lt;0.1,"*","NS")))</f>
        <v>NS</v>
      </c>
    </row>
    <row r="69" spans="1:20" x14ac:dyDescent="0.2">
      <c r="A69" s="296" t="s">
        <v>2692</v>
      </c>
      <c r="B69" s="4">
        <v>14.205538728787911</v>
      </c>
      <c r="C69" s="4">
        <v>10.175777986408219</v>
      </c>
      <c r="D69" s="4">
        <v>-4.0297607423796791</v>
      </c>
      <c r="E69" s="2266" t="str">
        <f>IF(       0.028&lt;0.01,"***",IF(       0.028&lt;0.05,"**",IF(       0.028&lt;0.1,"*","NS")))</f>
        <v>**</v>
      </c>
      <c r="G69" s="296" t="s">
        <v>2796</v>
      </c>
      <c r="H69" s="4">
        <v>14.205538728787911</v>
      </c>
      <c r="I69" s="4">
        <v>10.63898880763093</v>
      </c>
      <c r="J69" s="4">
        <v>-3.5665499211569953</v>
      </c>
      <c r="K69" s="2267" t="str">
        <f>IF(       0.057&lt;0.01,"***",IF(       0.057&lt;0.05,"**",IF(       0.057&lt;0.1,"*","NS")))</f>
        <v>*</v>
      </c>
      <c r="L69" s="4">
        <v>8.6578869602802282</v>
      </c>
      <c r="M69" s="4">
        <v>-5.5476517685076727</v>
      </c>
      <c r="N69" s="2268" t="str">
        <f>IF(       0.025&lt;0.01,"***",IF(       0.025&lt;0.05,"**",IF(       0.025&lt;0.1,"*","NS")))</f>
        <v>**</v>
      </c>
      <c r="P69" s="296" t="s">
        <v>2915</v>
      </c>
      <c r="Q69" s="4">
        <v>12.827195657977301</v>
      </c>
      <c r="R69" s="4">
        <v>8.6578869602802282</v>
      </c>
      <c r="S69" s="4">
        <v>-4.1693086976970752</v>
      </c>
      <c r="T69" s="2269" t="str">
        <f>IF(       0.051&lt;0.01,"***",IF(       0.051&lt;0.05,"**",IF(       0.051&lt;0.1,"*","NS")))</f>
        <v>*</v>
      </c>
    </row>
    <row r="70" spans="1:20" x14ac:dyDescent="0.2">
      <c r="A70" s="296" t="s">
        <v>2693</v>
      </c>
      <c r="B70" s="4">
        <v>39.307339165323619</v>
      </c>
      <c r="C70" s="4">
        <v>37.040638524590783</v>
      </c>
      <c r="D70" s="4">
        <v>-2.2667006407328354</v>
      </c>
      <c r="E70" s="2270" t="str">
        <f>IF(       0.254&lt;0.01,"***",IF(       0.254&lt;0.05,"**",IF(       0.254&lt;0.1,"*","NS")))</f>
        <v>NS</v>
      </c>
      <c r="G70" s="296" t="s">
        <v>2797</v>
      </c>
      <c r="H70" s="4">
        <v>39.307339165323619</v>
      </c>
      <c r="I70" s="4">
        <v>36.24602524436709</v>
      </c>
      <c r="J70" s="4">
        <v>-3.0613139209566347</v>
      </c>
      <c r="K70" s="2271" t="str">
        <f>IF(       0.226&lt;0.01,"***",IF(       0.226&lt;0.05,"**",IF(       0.226&lt;0.1,"*","NS")))</f>
        <v>NS</v>
      </c>
      <c r="L70" s="4">
        <v>39.196957280871487</v>
      </c>
      <c r="M70" s="4">
        <v>-0.11038188445211895</v>
      </c>
      <c r="N70" s="2272" t="str">
        <f>IF(       0.982&lt;0.01,"***",IF(       0.982&lt;0.05,"**",IF(       0.982&lt;0.1,"*","NS")))</f>
        <v>NS</v>
      </c>
      <c r="P70" s="296" t="s">
        <v>2916</v>
      </c>
      <c r="Q70" s="4">
        <v>38.506309005336277</v>
      </c>
      <c r="R70" s="4">
        <v>39.196957280871487</v>
      </c>
      <c r="S70" s="4">
        <v>0.69064827553519603</v>
      </c>
      <c r="T70" s="2273" t="str">
        <f>IF(       0.892&lt;0.01,"***",IF(       0.892&lt;0.05,"**",IF(       0.892&lt;0.1,"*","NS")))</f>
        <v>NS</v>
      </c>
    </row>
    <row r="71" spans="1:20" x14ac:dyDescent="0.2">
      <c r="A71" s="296" t="s">
        <v>2694</v>
      </c>
      <c r="B71" s="4">
        <v>59.476870876828542</v>
      </c>
      <c r="C71" s="4">
        <v>39.606362416629381</v>
      </c>
      <c r="D71" s="4">
        <v>-19.870508460199613</v>
      </c>
      <c r="E71" s="2274" t="str">
        <f>IF(       0&lt;0.01,"***",IF(       0&lt;0.05,"**",IF(       0&lt;0.1,"*","NS")))</f>
        <v>***</v>
      </c>
      <c r="G71" s="296" t="s">
        <v>2798</v>
      </c>
      <c r="H71" s="4">
        <v>59.476870876828542</v>
      </c>
      <c r="I71" s="4">
        <v>43.036232747325371</v>
      </c>
      <c r="J71" s="4">
        <v>-16.440638129502574</v>
      </c>
      <c r="K71" s="2275" t="str">
        <f>IF(       0&lt;0.01,"***",IF(       0&lt;0.05,"**",IF(       0&lt;0.1,"*","NS")))</f>
        <v>***</v>
      </c>
      <c r="L71" s="4">
        <v>31.11479896973087</v>
      </c>
      <c r="M71" s="4">
        <v>-28.362071907097736</v>
      </c>
      <c r="N71" s="2276" t="str">
        <f>IF(       0&lt;0.01,"***",IF(       0&lt;0.05,"**",IF(       0&lt;0.1,"*","NS")))</f>
        <v>***</v>
      </c>
      <c r="P71" s="296" t="s">
        <v>2917</v>
      </c>
      <c r="Q71" s="4">
        <v>55.42560458742944</v>
      </c>
      <c r="R71" s="4">
        <v>31.11479896973087</v>
      </c>
      <c r="S71" s="4">
        <v>-24.310805617698644</v>
      </c>
      <c r="T71" s="2277" t="str">
        <f>IF(       0&lt;0.01,"***",IF(       0&lt;0.05,"**",IF(       0&lt;0.1,"*","NS")))</f>
        <v>***</v>
      </c>
    </row>
    <row r="72" spans="1:20" x14ac:dyDescent="0.2">
      <c r="A72" s="296" t="s">
        <v>2695</v>
      </c>
      <c r="B72" s="4">
        <v>19.436624109459359</v>
      </c>
      <c r="C72" s="4">
        <v>16.023015607415601</v>
      </c>
      <c r="D72" s="4">
        <v>-3.4136085020437053</v>
      </c>
      <c r="E72" s="2278" t="str">
        <f>IF(       0.182&lt;0.01,"***",IF(       0.182&lt;0.05,"**",IF(       0.182&lt;0.1,"*","NS")))</f>
        <v>NS</v>
      </c>
      <c r="G72" s="296" t="s">
        <v>2799</v>
      </c>
      <c r="H72" s="4">
        <v>19.436624109459359</v>
      </c>
      <c r="I72" s="4">
        <v>16.694252340812</v>
      </c>
      <c r="J72" s="4">
        <v>-2.7423717686473368</v>
      </c>
      <c r="K72" s="2279" t="str">
        <f>IF(       0.324&lt;0.01,"***",IF(       0.324&lt;0.05,"**",IF(       0.324&lt;0.1,"*","NS")))</f>
        <v>NS</v>
      </c>
      <c r="L72" s="4">
        <v>13.998280478936399</v>
      </c>
      <c r="M72" s="4">
        <v>-5.4383436305229296</v>
      </c>
      <c r="N72" s="2280" t="str">
        <f>IF(       0.137&lt;0.01,"***",IF(       0.137&lt;0.05,"**",IF(       0.137&lt;0.1,"*","NS")))</f>
        <v>NS</v>
      </c>
      <c r="P72" s="296" t="s">
        <v>2918</v>
      </c>
      <c r="Q72" s="4">
        <v>18.785048161157771</v>
      </c>
      <c r="R72" s="4">
        <v>13.998280478936399</v>
      </c>
      <c r="S72" s="4">
        <v>-4.7867676822213854</v>
      </c>
      <c r="T72" s="2281" t="str">
        <f>IF(       0.17&lt;0.01,"***",IF(       0.17&lt;0.05,"**",IF(       0.17&lt;0.1,"*","NS")))</f>
        <v>NS</v>
      </c>
    </row>
    <row r="73" spans="1:20" x14ac:dyDescent="0.2">
      <c r="A73" s="296" t="s">
        <v>2696</v>
      </c>
      <c r="B73" s="4">
        <v>15.97160496614848</v>
      </c>
      <c r="C73" s="4">
        <v>11.871726908654599</v>
      </c>
      <c r="D73" s="4">
        <v>-4.0998780574939442</v>
      </c>
      <c r="E73" s="2282" t="str">
        <f>IF(       0.034&lt;0.01,"***",IF(       0.034&lt;0.05,"**",IF(       0.034&lt;0.1,"*","NS")))</f>
        <v>**</v>
      </c>
      <c r="G73" s="296" t="s">
        <v>2800</v>
      </c>
      <c r="H73" s="4">
        <v>15.97160496614848</v>
      </c>
      <c r="I73" s="4">
        <v>12.484984145308619</v>
      </c>
      <c r="J73" s="4">
        <v>-3.4866208208398599</v>
      </c>
      <c r="K73" s="2283" t="str">
        <f>IF(       0.07&lt;0.01,"***",IF(       0.07&lt;0.05,"**",IF(       0.07&lt;0.1,"*","NS")))</f>
        <v>*</v>
      </c>
      <c r="L73" s="4">
        <v>10.492945703643541</v>
      </c>
      <c r="M73" s="4">
        <v>-5.4786592625048929</v>
      </c>
      <c r="N73" s="2284" t="str">
        <f>IF(       0.02&lt;0.01,"***",IF(       0.02&lt;0.05,"**",IF(       0.02&lt;0.1,"*","NS")))</f>
        <v>**</v>
      </c>
      <c r="P73" s="296" t="s">
        <v>2919</v>
      </c>
      <c r="Q73" s="4">
        <v>14.786635315458829</v>
      </c>
      <c r="R73" s="4">
        <v>10.492945703643541</v>
      </c>
      <c r="S73" s="4">
        <v>-4.2936896118152061</v>
      </c>
      <c r="T73" s="2285" t="str">
        <f>IF(       0.024&lt;0.01,"***",IF(       0.024&lt;0.05,"**",IF(       0.024&lt;0.1,"*","NS")))</f>
        <v>**</v>
      </c>
    </row>
    <row r="74" spans="1:20" x14ac:dyDescent="0.2">
      <c r="A74" s="296" t="s">
        <v>2697</v>
      </c>
      <c r="B74" s="4">
        <v>15.455332220884561</v>
      </c>
      <c r="C74" s="4">
        <v>10.00749834697327</v>
      </c>
      <c r="D74" s="4">
        <v>-5.4478338739112475</v>
      </c>
      <c r="E74" s="2286" t="str">
        <f>IF(       0.096&lt;0.01,"***",IF(       0.096&lt;0.05,"**",IF(       0.096&lt;0.1,"*","NS")))</f>
        <v>*</v>
      </c>
      <c r="G74" s="296" t="s">
        <v>2801</v>
      </c>
      <c r="H74" s="4">
        <v>15.455332220884561</v>
      </c>
      <c r="I74" s="4">
        <v>9.8303650244628784</v>
      </c>
      <c r="J74" s="4">
        <v>-5.6249671964217329</v>
      </c>
      <c r="K74" s="2287" t="str">
        <f>IF(       0.119&lt;0.01,"***",IF(       0.119&lt;0.05,"**",IF(       0.119&lt;0.1,"*","NS")))</f>
        <v>NS</v>
      </c>
      <c r="L74" s="4">
        <v>10.59343873202506</v>
      </c>
      <c r="M74" s="4">
        <v>-4.8618934888594927</v>
      </c>
      <c r="N74" s="2288" t="str">
        <f>IF(       0.081&lt;0.01,"***",IF(       0.081&lt;0.05,"**",IF(       0.081&lt;0.1,"*","NS")))</f>
        <v>*</v>
      </c>
      <c r="P74" s="296" t="s">
        <v>2920</v>
      </c>
      <c r="Q74" s="4">
        <v>13.924701023206291</v>
      </c>
      <c r="R74" s="4">
        <v>10.59343873202506</v>
      </c>
      <c r="S74" s="4">
        <v>-3.3312622911811891</v>
      </c>
      <c r="T74" s="2289" t="str">
        <f>IF(       0.131&lt;0.01,"***",IF(       0.131&lt;0.05,"**",IF(       0.131&lt;0.1,"*","NS")))</f>
        <v>NS</v>
      </c>
    </row>
    <row r="75" spans="1:20" x14ac:dyDescent="0.2">
      <c r="A75" s="296" t="s">
        <v>5835</v>
      </c>
      <c r="B75" s="4">
        <v>24.496293982413551</v>
      </c>
      <c r="C75" s="4">
        <v>18.573825545894689</v>
      </c>
      <c r="D75" s="4">
        <v>-5.9224684365188525</v>
      </c>
      <c r="E75" s="2290" t="str">
        <f>IF(       0&lt;0.01,"***",IF(       0&lt;0.05,"**",IF(       0&lt;0.1,"*","NS")))</f>
        <v>***</v>
      </c>
      <c r="G75" s="296" t="s">
        <v>5835</v>
      </c>
      <c r="H75" s="4">
        <v>24.496293982413551</v>
      </c>
      <c r="I75" s="4">
        <v>19.077715454039591</v>
      </c>
      <c r="J75" s="4">
        <v>-5.4185785283736374</v>
      </c>
      <c r="K75" s="2291" t="str">
        <f>IF(       0&lt;0.01,"***",IF(       0&lt;0.05,"**",IF(       0&lt;0.1,"*","NS")))</f>
        <v>***</v>
      </c>
      <c r="L75" s="4">
        <v>17.134998914568889</v>
      </c>
      <c r="M75" s="4">
        <v>-7.3612950678452052</v>
      </c>
      <c r="N75" s="2292" t="str">
        <f>IF(       0&lt;0.01,"***",IF(       0&lt;0.05,"**",IF(       0&lt;0.1,"*","NS")))</f>
        <v>***</v>
      </c>
      <c r="P75" s="296" t="s">
        <v>5835</v>
      </c>
      <c r="Q75" s="4">
        <v>22.917705631677471</v>
      </c>
      <c r="R75" s="4">
        <v>17.134998914568889</v>
      </c>
      <c r="S75" s="4">
        <v>-5.7827067171082431</v>
      </c>
      <c r="T75" s="2293" t="str">
        <f>IF(       0&lt;0.01,"***",IF(       0&lt;0.05,"**",IF(       0&lt;0.1,"*","NS")))</f>
        <v>***</v>
      </c>
    </row>
    <row r="77" spans="1:20" x14ac:dyDescent="0.2">
      <c r="A77" s="296" t="s">
        <v>2698</v>
      </c>
      <c r="G77" s="296" t="s">
        <v>2802</v>
      </c>
      <c r="P77" s="296" t="s">
        <v>2921</v>
      </c>
    </row>
    <row r="78" spans="1:20" s="3" customFormat="1" x14ac:dyDescent="0.2">
      <c r="A78" s="5694" t="s">
        <v>2699</v>
      </c>
      <c r="B78" s="5695" t="s">
        <v>2700</v>
      </c>
      <c r="C78" s="5696" t="s">
        <v>2701</v>
      </c>
      <c r="D78" s="5697" t="s">
        <v>2702</v>
      </c>
      <c r="E78" s="5698" t="s">
        <v>2703</v>
      </c>
      <c r="G78" s="5699" t="s">
        <v>2803</v>
      </c>
      <c r="H78" s="5700" t="s">
        <v>2804</v>
      </c>
      <c r="I78" s="5701" t="s">
        <v>2805</v>
      </c>
      <c r="J78" s="5702" t="s">
        <v>2806</v>
      </c>
      <c r="K78" s="5703" t="s">
        <v>2807</v>
      </c>
      <c r="L78" s="5704" t="s">
        <v>2835</v>
      </c>
      <c r="M78" s="5705" t="s">
        <v>2836</v>
      </c>
      <c r="N78" s="5706" t="s">
        <v>2837</v>
      </c>
      <c r="P78" s="5707" t="s">
        <v>2922</v>
      </c>
      <c r="Q78" s="5708" t="s">
        <v>2923</v>
      </c>
      <c r="R78" s="5709" t="s">
        <v>2924</v>
      </c>
      <c r="S78" s="5710" t="s">
        <v>2925</v>
      </c>
      <c r="T78" s="5711" t="s">
        <v>2926</v>
      </c>
    </row>
    <row r="79" spans="1:20" x14ac:dyDescent="0.2">
      <c r="A79" s="296" t="s">
        <v>2704</v>
      </c>
      <c r="B79" s="4" t="s">
        <v>6067</v>
      </c>
      <c r="C79" s="4" t="s">
        <v>6067</v>
      </c>
      <c r="D79" s="4" t="s">
        <v>6067</v>
      </c>
      <c r="E79" s="4" t="s">
        <v>6067</v>
      </c>
      <c r="G79" s="296" t="s">
        <v>2808</v>
      </c>
      <c r="H79" s="4" t="s">
        <v>6067</v>
      </c>
      <c r="I79" s="4" t="s">
        <v>6067</v>
      </c>
      <c r="J79" s="4" t="s">
        <v>6067</v>
      </c>
      <c r="K79" s="4" t="s">
        <v>6067</v>
      </c>
      <c r="L79" s="4" t="s">
        <v>6067</v>
      </c>
      <c r="M79" s="4" t="s">
        <v>6067</v>
      </c>
      <c r="N79" s="4" t="s">
        <v>6067</v>
      </c>
      <c r="P79" s="296" t="s">
        <v>2927</v>
      </c>
      <c r="Q79" s="4" t="s">
        <v>6067</v>
      </c>
      <c r="R79" s="4" t="s">
        <v>6067</v>
      </c>
      <c r="S79" s="4" t="s">
        <v>6067</v>
      </c>
      <c r="T79" s="4" t="s">
        <v>6067</v>
      </c>
    </row>
    <row r="80" spans="1:20" x14ac:dyDescent="0.2">
      <c r="A80" s="296" t="s">
        <v>2705</v>
      </c>
      <c r="B80" s="4">
        <v>50.598495688935579</v>
      </c>
      <c r="C80" s="4">
        <v>30.132712621521922</v>
      </c>
      <c r="D80" s="4">
        <v>-20.465783067413781</v>
      </c>
      <c r="E80" s="2294" t="str">
        <f>IF(       0.008&lt;0.01,"***",IF(       0.008&lt;0.05,"**",IF(       0.008&lt;0.1,"*","NS")))</f>
        <v>***</v>
      </c>
      <c r="G80" s="296" t="s">
        <v>2809</v>
      </c>
      <c r="H80" s="4">
        <v>50.598495688935579</v>
      </c>
      <c r="I80" s="4">
        <v>30.976757396251969</v>
      </c>
      <c r="J80" s="4">
        <v>-19.621738292683453</v>
      </c>
      <c r="K80" s="2295" t="str">
        <f>IF(       0.018&lt;0.01,"***",IF(       0.018&lt;0.05,"**",IF(       0.018&lt;0.1,"*","NS")))</f>
        <v>**</v>
      </c>
      <c r="L80" s="4">
        <v>27.864948131649111</v>
      </c>
      <c r="M80" s="4">
        <v>-22.733547557286542</v>
      </c>
      <c r="N80" s="2296" t="str">
        <f>IF(       0.007&lt;0.01,"***",IF(       0.007&lt;0.05,"**",IF(       0.007&lt;0.1,"*","NS")))</f>
        <v>***</v>
      </c>
      <c r="P80" s="296" t="s">
        <v>2928</v>
      </c>
      <c r="Q80" s="4">
        <v>46.006551621475857</v>
      </c>
      <c r="R80" s="4">
        <v>27.864948131649111</v>
      </c>
      <c r="S80" s="4">
        <v>-18.141603489826913</v>
      </c>
      <c r="T80" s="2297" t="str">
        <f>IF(       0.017&lt;0.01,"***",IF(       0.017&lt;0.05,"**",IF(       0.017&lt;0.1,"*","NS")))</f>
        <v>**</v>
      </c>
    </row>
    <row r="81" spans="1:20" x14ac:dyDescent="0.2">
      <c r="A81" s="296" t="s">
        <v>2706</v>
      </c>
      <c r="B81" s="4" t="s">
        <v>6067</v>
      </c>
      <c r="C81" s="4" t="s">
        <v>6067</v>
      </c>
      <c r="D81" s="4" t="s">
        <v>6067</v>
      </c>
      <c r="E81" s="4" t="s">
        <v>6067</v>
      </c>
      <c r="G81" s="296" t="s">
        <v>2810</v>
      </c>
      <c r="H81" s="4" t="s">
        <v>6067</v>
      </c>
      <c r="I81" s="4" t="s">
        <v>6067</v>
      </c>
      <c r="J81" s="4" t="s">
        <v>6067</v>
      </c>
      <c r="K81" s="4" t="s">
        <v>6067</v>
      </c>
      <c r="L81" s="4" t="s">
        <v>6067</v>
      </c>
      <c r="M81" s="4" t="s">
        <v>6067</v>
      </c>
      <c r="N81" s="4" t="s">
        <v>6067</v>
      </c>
      <c r="P81" s="296" t="s">
        <v>2929</v>
      </c>
      <c r="Q81" s="4" t="s">
        <v>6067</v>
      </c>
      <c r="R81" s="4" t="s">
        <v>6067</v>
      </c>
      <c r="S81" s="4" t="s">
        <v>6067</v>
      </c>
      <c r="T81" s="4" t="s">
        <v>6067</v>
      </c>
    </row>
    <row r="82" spans="1:20" x14ac:dyDescent="0.2">
      <c r="A82" s="296" t="s">
        <v>2707</v>
      </c>
      <c r="B82" s="4" t="s">
        <v>6067</v>
      </c>
      <c r="C82" s="4" t="s">
        <v>6067</v>
      </c>
      <c r="D82" s="4" t="s">
        <v>6067</v>
      </c>
      <c r="E82" s="4" t="s">
        <v>6067</v>
      </c>
      <c r="G82" s="296" t="s">
        <v>2811</v>
      </c>
      <c r="H82" s="4" t="s">
        <v>6067</v>
      </c>
      <c r="I82" s="4" t="s">
        <v>6067</v>
      </c>
      <c r="J82" s="4" t="s">
        <v>6067</v>
      </c>
      <c r="K82" s="4" t="s">
        <v>6067</v>
      </c>
      <c r="L82" s="4" t="s">
        <v>6067</v>
      </c>
      <c r="M82" s="4" t="s">
        <v>6067</v>
      </c>
      <c r="N82" s="4" t="s">
        <v>6067</v>
      </c>
      <c r="P82" s="296" t="s">
        <v>2930</v>
      </c>
      <c r="Q82" s="4" t="s">
        <v>6067</v>
      </c>
      <c r="R82" s="4" t="s">
        <v>6067</v>
      </c>
      <c r="S82" s="4" t="s">
        <v>6067</v>
      </c>
      <c r="T82" s="4" t="s">
        <v>6067</v>
      </c>
    </row>
    <row r="83" spans="1:20" x14ac:dyDescent="0.2">
      <c r="A83" s="296" t="s">
        <v>2708</v>
      </c>
      <c r="B83" s="4" t="s">
        <v>6067</v>
      </c>
      <c r="C83" s="4" t="s">
        <v>6067</v>
      </c>
      <c r="D83" s="4" t="s">
        <v>6067</v>
      </c>
      <c r="E83" s="4" t="s">
        <v>6067</v>
      </c>
      <c r="G83" s="296" t="s">
        <v>2812</v>
      </c>
      <c r="H83" s="4" t="s">
        <v>6067</v>
      </c>
      <c r="I83" s="4" t="s">
        <v>6067</v>
      </c>
      <c r="J83" s="4" t="s">
        <v>6067</v>
      </c>
      <c r="K83" s="4" t="s">
        <v>6067</v>
      </c>
      <c r="L83" s="4" t="s">
        <v>6067</v>
      </c>
      <c r="M83" s="4" t="s">
        <v>6067</v>
      </c>
      <c r="N83" s="4" t="s">
        <v>6067</v>
      </c>
      <c r="P83" s="296" t="s">
        <v>2931</v>
      </c>
      <c r="Q83" s="4" t="s">
        <v>6067</v>
      </c>
      <c r="R83" s="4" t="s">
        <v>6067</v>
      </c>
      <c r="S83" s="4" t="s">
        <v>6067</v>
      </c>
      <c r="T83" s="4" t="s">
        <v>6067</v>
      </c>
    </row>
    <row r="84" spans="1:20" x14ac:dyDescent="0.2">
      <c r="A84" s="296" t="s">
        <v>2709</v>
      </c>
      <c r="B84" s="4" t="s">
        <v>6067</v>
      </c>
      <c r="C84" s="4" t="s">
        <v>6067</v>
      </c>
      <c r="D84" s="4" t="s">
        <v>6067</v>
      </c>
      <c r="E84" s="4" t="s">
        <v>6067</v>
      </c>
      <c r="G84" s="296" t="s">
        <v>2813</v>
      </c>
      <c r="H84" s="4" t="s">
        <v>6067</v>
      </c>
      <c r="I84" s="4" t="s">
        <v>6067</v>
      </c>
      <c r="J84" s="4" t="s">
        <v>6067</v>
      </c>
      <c r="K84" s="4" t="s">
        <v>6067</v>
      </c>
      <c r="L84" s="4" t="s">
        <v>6067</v>
      </c>
      <c r="M84" s="4" t="s">
        <v>6067</v>
      </c>
      <c r="N84" s="4" t="s">
        <v>6067</v>
      </c>
      <c r="P84" s="296" t="s">
        <v>2932</v>
      </c>
      <c r="Q84" s="4" t="s">
        <v>6067</v>
      </c>
      <c r="R84" s="4" t="s">
        <v>6067</v>
      </c>
      <c r="S84" s="4" t="s">
        <v>6067</v>
      </c>
      <c r="T84" s="4" t="s">
        <v>6067</v>
      </c>
    </row>
    <row r="85" spans="1:20" x14ac:dyDescent="0.2">
      <c r="A85" s="296" t="s">
        <v>2710</v>
      </c>
      <c r="B85" s="4">
        <v>91.981549034499906</v>
      </c>
      <c r="C85" s="4">
        <v>92.630748475015352</v>
      </c>
      <c r="D85" s="4">
        <v>0.64919944051542788</v>
      </c>
      <c r="E85" s="2298" t="str">
        <f>IF(       0.734&lt;0.01,"***",IF(       0.734&lt;0.05,"**",IF(       0.734&lt;0.1,"*","NS")))</f>
        <v>NS</v>
      </c>
      <c r="G85" s="296" t="s">
        <v>2814</v>
      </c>
      <c r="H85" s="4">
        <v>91.981549034499906</v>
      </c>
      <c r="I85" s="4">
        <v>92.274874203679545</v>
      </c>
      <c r="J85" s="4">
        <v>0.29332516917963947</v>
      </c>
      <c r="K85" s="2299" t="str">
        <f>IF(       0.897&lt;0.01,"***",IF(       0.897&lt;0.05,"**",IF(       0.897&lt;0.1,"*","NS")))</f>
        <v>NS</v>
      </c>
      <c r="L85" s="4">
        <v>94.279241395066535</v>
      </c>
      <c r="M85" s="4">
        <v>2.2976923605666046</v>
      </c>
      <c r="N85" s="2300" t="str">
        <f>IF(       0.266&lt;0.01,"***",IF(       0.266&lt;0.05,"**",IF(       0.266&lt;0.1,"*","NS")))</f>
        <v>NS</v>
      </c>
      <c r="P85" s="296" t="s">
        <v>2933</v>
      </c>
      <c r="Q85" s="4">
        <v>92.025041317477587</v>
      </c>
      <c r="R85" s="4">
        <v>94.279241395066535</v>
      </c>
      <c r="S85" s="4">
        <v>2.2542000775889308</v>
      </c>
      <c r="T85" s="2301" t="str">
        <f>IF(       0.28&lt;0.01,"***",IF(       0.28&lt;0.05,"**",IF(       0.28&lt;0.1,"*","NS")))</f>
        <v>NS</v>
      </c>
    </row>
    <row r="86" spans="1:20" x14ac:dyDescent="0.2">
      <c r="A86" s="296" t="s">
        <v>2711</v>
      </c>
      <c r="B86" s="4" t="s">
        <v>6067</v>
      </c>
      <c r="C86" s="4" t="s">
        <v>6067</v>
      </c>
      <c r="D86" s="4" t="s">
        <v>6067</v>
      </c>
      <c r="E86" s="4" t="s">
        <v>6067</v>
      </c>
      <c r="G86" s="296" t="s">
        <v>2815</v>
      </c>
      <c r="H86" s="4" t="s">
        <v>6067</v>
      </c>
      <c r="I86" s="4" t="s">
        <v>6067</v>
      </c>
      <c r="J86" s="4" t="s">
        <v>6067</v>
      </c>
      <c r="K86" s="4" t="s">
        <v>6067</v>
      </c>
      <c r="L86" s="4" t="s">
        <v>6067</v>
      </c>
      <c r="M86" s="4" t="s">
        <v>6067</v>
      </c>
      <c r="N86" s="4" t="s">
        <v>6067</v>
      </c>
      <c r="P86" s="296" t="s">
        <v>2934</v>
      </c>
      <c r="Q86" s="4" t="s">
        <v>6067</v>
      </c>
      <c r="R86" s="4" t="s">
        <v>6067</v>
      </c>
      <c r="S86" s="4" t="s">
        <v>6067</v>
      </c>
      <c r="T86" s="4" t="s">
        <v>6067</v>
      </c>
    </row>
    <row r="87" spans="1:20" x14ac:dyDescent="0.2">
      <c r="A87" s="296" t="s">
        <v>2712</v>
      </c>
      <c r="B87" s="4" t="s">
        <v>6067</v>
      </c>
      <c r="C87" s="4" t="s">
        <v>6067</v>
      </c>
      <c r="D87" s="4" t="s">
        <v>6067</v>
      </c>
      <c r="E87" s="4" t="s">
        <v>6067</v>
      </c>
      <c r="G87" s="296" t="s">
        <v>2816</v>
      </c>
      <c r="H87" s="4" t="s">
        <v>6067</v>
      </c>
      <c r="I87" s="4" t="s">
        <v>6067</v>
      </c>
      <c r="J87" s="4" t="s">
        <v>6067</v>
      </c>
      <c r="K87" s="4" t="s">
        <v>6067</v>
      </c>
      <c r="L87" s="4" t="s">
        <v>6067</v>
      </c>
      <c r="M87" s="4" t="s">
        <v>6067</v>
      </c>
      <c r="N87" s="4" t="s">
        <v>6067</v>
      </c>
      <c r="P87" s="296" t="s">
        <v>2935</v>
      </c>
      <c r="Q87" s="4" t="s">
        <v>6067</v>
      </c>
      <c r="R87" s="4" t="s">
        <v>6067</v>
      </c>
      <c r="S87" s="4" t="s">
        <v>6067</v>
      </c>
      <c r="T87" s="4" t="s">
        <v>6067</v>
      </c>
    </row>
    <row r="88" spans="1:20" x14ac:dyDescent="0.2">
      <c r="A88" s="296" t="s">
        <v>2713</v>
      </c>
      <c r="B88" s="4" t="s">
        <v>6067</v>
      </c>
      <c r="C88" s="4" t="s">
        <v>6067</v>
      </c>
      <c r="D88" s="4" t="s">
        <v>6067</v>
      </c>
      <c r="E88" s="4" t="s">
        <v>6067</v>
      </c>
      <c r="G88" s="296" t="s">
        <v>2817</v>
      </c>
      <c r="H88" s="4" t="s">
        <v>6067</v>
      </c>
      <c r="I88" s="4" t="s">
        <v>6067</v>
      </c>
      <c r="J88" s="4" t="s">
        <v>6067</v>
      </c>
      <c r="K88" s="4" t="s">
        <v>6067</v>
      </c>
      <c r="L88" s="4" t="s">
        <v>6067</v>
      </c>
      <c r="M88" s="4" t="s">
        <v>6067</v>
      </c>
      <c r="N88" s="4" t="s">
        <v>6067</v>
      </c>
      <c r="P88" s="296" t="s">
        <v>2936</v>
      </c>
      <c r="Q88" s="4" t="s">
        <v>6067</v>
      </c>
      <c r="R88" s="4" t="s">
        <v>6067</v>
      </c>
      <c r="S88" s="4" t="s">
        <v>6067</v>
      </c>
      <c r="T88" s="4" t="s">
        <v>6067</v>
      </c>
    </row>
    <row r="89" spans="1:20" x14ac:dyDescent="0.2">
      <c r="A89" s="296" t="s">
        <v>2714</v>
      </c>
      <c r="B89" s="4">
        <v>77.7093990107672</v>
      </c>
      <c r="C89" s="4">
        <v>70.18335076493095</v>
      </c>
      <c r="D89" s="4">
        <v>-7.5260482458362992</v>
      </c>
      <c r="E89" s="2302" t="str">
        <f>IF(       0.289&lt;0.01,"***",IF(       0.289&lt;0.05,"**",IF(       0.289&lt;0.1,"*","NS")))</f>
        <v>NS</v>
      </c>
      <c r="G89" s="296" t="s">
        <v>2818</v>
      </c>
      <c r="H89" s="4">
        <v>77.7093990107672</v>
      </c>
      <c r="I89" s="4">
        <v>75.204580866237492</v>
      </c>
      <c r="J89" s="4">
        <v>-2.5048181445297559</v>
      </c>
      <c r="K89" s="2303" t="str">
        <f>IF(       0.677&lt;0.01,"***",IF(       0.677&lt;0.05,"**",IF(       0.677&lt;0.1,"*","NS")))</f>
        <v>NS</v>
      </c>
      <c r="L89" s="4">
        <v>56.821545296527518</v>
      </c>
      <c r="M89" s="4">
        <v>-20.887853714239622</v>
      </c>
      <c r="N89" s="2304" t="str">
        <f>IF(       0.115&lt;0.01,"***",IF(       0.115&lt;0.05,"**",IF(       0.115&lt;0.1,"*","NS")))</f>
        <v>NS</v>
      </c>
      <c r="P89" s="296" t="s">
        <v>2937</v>
      </c>
      <c r="Q89" s="4">
        <v>77.260305663347609</v>
      </c>
      <c r="R89" s="4">
        <v>56.821545296527518</v>
      </c>
      <c r="S89" s="4">
        <v>-20.438760366820016</v>
      </c>
      <c r="T89" s="2305" t="str">
        <f>IF(       0.109&lt;0.01,"***",IF(       0.109&lt;0.05,"**",IF(       0.109&lt;0.1,"*","NS")))</f>
        <v>NS</v>
      </c>
    </row>
    <row r="90" spans="1:20" x14ac:dyDescent="0.2">
      <c r="A90" s="296" t="s">
        <v>2715</v>
      </c>
      <c r="B90" s="4" t="s">
        <v>6067</v>
      </c>
      <c r="C90" s="4" t="s">
        <v>6067</v>
      </c>
      <c r="D90" s="4" t="s">
        <v>6067</v>
      </c>
      <c r="E90" s="4" t="s">
        <v>6067</v>
      </c>
      <c r="G90" s="296" t="s">
        <v>2819</v>
      </c>
      <c r="H90" s="4" t="s">
        <v>6067</v>
      </c>
      <c r="I90" s="4" t="s">
        <v>6067</v>
      </c>
      <c r="J90" s="4" t="s">
        <v>6067</v>
      </c>
      <c r="K90" s="4" t="s">
        <v>6067</v>
      </c>
      <c r="L90" s="4" t="s">
        <v>6067</v>
      </c>
      <c r="M90" s="4" t="s">
        <v>6067</v>
      </c>
      <c r="N90" s="4" t="s">
        <v>6067</v>
      </c>
      <c r="P90" s="296" t="s">
        <v>2938</v>
      </c>
      <c r="Q90" s="4" t="s">
        <v>6067</v>
      </c>
      <c r="R90" s="4" t="s">
        <v>6067</v>
      </c>
      <c r="S90" s="4" t="s">
        <v>6067</v>
      </c>
      <c r="T90" s="4" t="s">
        <v>6067</v>
      </c>
    </row>
    <row r="91" spans="1:20" x14ac:dyDescent="0.2">
      <c r="A91" s="296" t="s">
        <v>2716</v>
      </c>
      <c r="B91" s="4" t="s">
        <v>6067</v>
      </c>
      <c r="C91" s="4" t="s">
        <v>6067</v>
      </c>
      <c r="D91" s="4" t="s">
        <v>6067</v>
      </c>
      <c r="E91" s="4" t="s">
        <v>6067</v>
      </c>
      <c r="G91" s="296" t="s">
        <v>2820</v>
      </c>
      <c r="H91" s="4" t="s">
        <v>6067</v>
      </c>
      <c r="I91" s="4" t="s">
        <v>6067</v>
      </c>
      <c r="J91" s="4" t="s">
        <v>6067</v>
      </c>
      <c r="K91" s="4" t="s">
        <v>6067</v>
      </c>
      <c r="L91" s="4" t="s">
        <v>6067</v>
      </c>
      <c r="M91" s="4" t="s">
        <v>6067</v>
      </c>
      <c r="N91" s="4" t="s">
        <v>6067</v>
      </c>
      <c r="P91" s="296" t="s">
        <v>2939</v>
      </c>
      <c r="Q91" s="4" t="s">
        <v>6067</v>
      </c>
      <c r="R91" s="4" t="s">
        <v>6067</v>
      </c>
      <c r="S91" s="4" t="s">
        <v>6067</v>
      </c>
      <c r="T91" s="4" t="s">
        <v>6067</v>
      </c>
    </row>
    <row r="92" spans="1:20" x14ac:dyDescent="0.2">
      <c r="A92" s="296" t="s">
        <v>2717</v>
      </c>
      <c r="B92" s="4">
        <v>48.243302559241563</v>
      </c>
      <c r="C92" s="4">
        <v>36.456019154289407</v>
      </c>
      <c r="D92" s="4">
        <v>-11.787283404952163</v>
      </c>
      <c r="E92" s="2306" t="str">
        <f>IF(       0.134&lt;0.01,"***",IF(       0.134&lt;0.05,"**",IF(       0.134&lt;0.1,"*","NS")))</f>
        <v>NS</v>
      </c>
      <c r="G92" s="296" t="s">
        <v>2821</v>
      </c>
      <c r="H92" s="4">
        <v>48.243302559241563</v>
      </c>
      <c r="I92" s="4">
        <v>37.12261331636978</v>
      </c>
      <c r="J92" s="4">
        <v>-11.120689242871773</v>
      </c>
      <c r="K92" s="2307" t="str">
        <f>IF(       0.258&lt;0.01,"***",IF(       0.258&lt;0.05,"**",IF(       0.258&lt;0.1,"*","NS")))</f>
        <v>NS</v>
      </c>
      <c r="L92" s="4">
        <v>35.08295886159317</v>
      </c>
      <c r="M92" s="4">
        <v>-13.160343697648337</v>
      </c>
      <c r="N92" s="2308" t="str">
        <f>IF(       0.027&lt;0.01,"***",IF(       0.027&lt;0.05,"**",IF(       0.027&lt;0.1,"*","NS")))</f>
        <v>**</v>
      </c>
      <c r="P92" s="296" t="s">
        <v>2940</v>
      </c>
      <c r="Q92" s="4">
        <v>45.028752903782006</v>
      </c>
      <c r="R92" s="4">
        <v>35.08295886159317</v>
      </c>
      <c r="S92" s="4">
        <v>-9.9457940421888029</v>
      </c>
      <c r="T92" s="2309" t="str">
        <f>IF(       0.049&lt;0.01,"***",IF(       0.049&lt;0.05,"**",IF(       0.049&lt;0.1,"*","NS")))</f>
        <v>**</v>
      </c>
    </row>
    <row r="93" spans="1:20" x14ac:dyDescent="0.2">
      <c r="A93" s="296" t="s">
        <v>2718</v>
      </c>
      <c r="B93" s="4" t="s">
        <v>6067</v>
      </c>
      <c r="C93" s="4" t="s">
        <v>6067</v>
      </c>
      <c r="D93" s="4" t="s">
        <v>6067</v>
      </c>
      <c r="E93" s="4" t="s">
        <v>6067</v>
      </c>
      <c r="G93" s="296" t="s">
        <v>2822</v>
      </c>
      <c r="H93" s="4" t="s">
        <v>6067</v>
      </c>
      <c r="I93" s="4" t="s">
        <v>6067</v>
      </c>
      <c r="J93" s="4" t="s">
        <v>6067</v>
      </c>
      <c r="K93" s="4" t="s">
        <v>6067</v>
      </c>
      <c r="L93" s="4" t="s">
        <v>6067</v>
      </c>
      <c r="M93" s="4" t="s">
        <v>6067</v>
      </c>
      <c r="N93" s="4" t="s">
        <v>6067</v>
      </c>
      <c r="P93" s="296" t="s">
        <v>2941</v>
      </c>
      <c r="Q93" s="4" t="s">
        <v>6067</v>
      </c>
      <c r="R93" s="4" t="s">
        <v>6067</v>
      </c>
      <c r="S93" s="4" t="s">
        <v>6067</v>
      </c>
      <c r="T93" s="4" t="s">
        <v>6067</v>
      </c>
    </row>
    <row r="94" spans="1:20" x14ac:dyDescent="0.2">
      <c r="A94" s="296" t="s">
        <v>5835</v>
      </c>
      <c r="B94" s="4">
        <v>72.570577823897807</v>
      </c>
      <c r="C94" s="4">
        <v>57.86543953588086</v>
      </c>
      <c r="D94" s="4">
        <v>-14.705138288016572</v>
      </c>
      <c r="E94" s="2310" t="str">
        <f>IF(       0&lt;0.01,"***",IF(       0&lt;0.05,"**",IF(       0&lt;0.1,"*","NS")))</f>
        <v>***</v>
      </c>
      <c r="G94" s="296" t="s">
        <v>5835</v>
      </c>
      <c r="H94" s="4">
        <v>72.570577823897807</v>
      </c>
      <c r="I94" s="4">
        <v>60.424635752556512</v>
      </c>
      <c r="J94" s="4">
        <v>-12.145942071341269</v>
      </c>
      <c r="K94" s="2311" t="str">
        <f>IF(       0&lt;0.01,"***",IF(       0&lt;0.05,"**",IF(       0&lt;0.1,"*","NS")))</f>
        <v>***</v>
      </c>
      <c r="L94" s="4">
        <v>49.257293505840742</v>
      </c>
      <c r="M94" s="4">
        <v>-23.313284318057487</v>
      </c>
      <c r="N94" s="2312" t="str">
        <f>IF(       0&lt;0.01,"***",IF(       0&lt;0.05,"**",IF(       0&lt;0.1,"*","NS")))</f>
        <v>***</v>
      </c>
      <c r="P94" s="296" t="s">
        <v>5835</v>
      </c>
      <c r="Q94" s="4">
        <v>70.184646392397354</v>
      </c>
      <c r="R94" s="4">
        <v>49.257293505840742</v>
      </c>
      <c r="S94" s="4">
        <v>-20.927352886556562</v>
      </c>
      <c r="T94" s="2313" t="str">
        <f>IF(       0&lt;0.01,"***",IF(       0&lt;0.05,"**",IF(       0&lt;0.1,"*","NS")))</f>
        <v>***</v>
      </c>
    </row>
    <row r="96" spans="1:20" x14ac:dyDescent="0.2">
      <c r="A96" s="296" t="s">
        <v>5735</v>
      </c>
      <c r="G96" s="296" t="s">
        <v>5736</v>
      </c>
      <c r="P96" s="296" t="s">
        <v>5737</v>
      </c>
    </row>
    <row r="97" spans="1:20" s="3" customFormat="1" x14ac:dyDescent="0.2">
      <c r="A97" s="5712" t="s">
        <v>4931</v>
      </c>
      <c r="B97" s="5713" t="s">
        <v>4932</v>
      </c>
      <c r="C97" s="5714" t="s">
        <v>4933</v>
      </c>
      <c r="D97" s="5715" t="s">
        <v>4934</v>
      </c>
      <c r="E97" s="5716" t="s">
        <v>4935</v>
      </c>
      <c r="G97" s="5717" t="s">
        <v>4971</v>
      </c>
      <c r="H97" s="5718" t="s">
        <v>4972</v>
      </c>
      <c r="I97" s="5719" t="s">
        <v>4973</v>
      </c>
      <c r="J97" s="5720" t="s">
        <v>4974</v>
      </c>
      <c r="K97" s="5721" t="s">
        <v>4975</v>
      </c>
      <c r="L97" s="5722" t="s">
        <v>5011</v>
      </c>
      <c r="M97" s="5723" t="s">
        <v>5012</v>
      </c>
      <c r="N97" s="5724" t="s">
        <v>5013</v>
      </c>
      <c r="P97" s="5725" t="s">
        <v>5017</v>
      </c>
      <c r="Q97" s="5726" t="s">
        <v>5018</v>
      </c>
      <c r="R97" s="5727" t="s">
        <v>5019</v>
      </c>
      <c r="S97" s="5728" t="s">
        <v>5020</v>
      </c>
      <c r="T97" s="5729" t="s">
        <v>5021</v>
      </c>
    </row>
    <row r="98" spans="1:20" x14ac:dyDescent="0.2">
      <c r="A98" s="296" t="s">
        <v>4936</v>
      </c>
      <c r="B98" s="4">
        <v>13.29542067923059</v>
      </c>
      <c r="C98" s="4">
        <v>11.06797247079305</v>
      </c>
      <c r="D98" s="4">
        <v>-2.227448208437548</v>
      </c>
      <c r="E98" s="2314" t="str">
        <f>IF(       0.315&lt;0.01,"***",IF(       0.315&lt;0.05,"**",IF(       0.315&lt;0.1,"*","NS")))</f>
        <v>NS</v>
      </c>
      <c r="G98" s="296" t="s">
        <v>4976</v>
      </c>
      <c r="H98" s="4">
        <v>13.29542067923059</v>
      </c>
      <c r="I98" s="4">
        <v>11.48341361175008</v>
      </c>
      <c r="J98" s="4">
        <v>-1.8120070674805298</v>
      </c>
      <c r="K98" s="2315" t="str">
        <f>IF(       0.434&lt;0.01,"***",IF(       0.434&lt;0.05,"**",IF(       0.434&lt;0.1,"*","NS")))</f>
        <v>NS</v>
      </c>
      <c r="L98" s="4">
        <v>7.971699137511119</v>
      </c>
      <c r="M98" s="4">
        <v>-5.323721541719471</v>
      </c>
      <c r="N98" s="2316" t="str">
        <f>IF(       0&lt;0.01,"***",IF(       0&lt;0.05,"**",IF(       0&lt;0.1,"*","NS")))</f>
        <v>***</v>
      </c>
      <c r="P98" s="296" t="s">
        <v>5022</v>
      </c>
      <c r="Q98" s="4">
        <v>12.77102646878576</v>
      </c>
      <c r="R98" s="4">
        <v>7.971699137511119</v>
      </c>
      <c r="S98" s="4">
        <v>-4.7993273312746405</v>
      </c>
      <c r="T98" s="2317" t="str">
        <f>IF(       0.04&lt;0.01,"***",IF(       0.04&lt;0.05,"**",IF(       0.04&lt;0.1,"*","NS")))</f>
        <v>**</v>
      </c>
    </row>
    <row r="99" spans="1:20" x14ac:dyDescent="0.2">
      <c r="A99" s="296" t="s">
        <v>4937</v>
      </c>
      <c r="B99" s="4">
        <v>31.5243954527431</v>
      </c>
      <c r="C99" s="4">
        <v>18.252873718747949</v>
      </c>
      <c r="D99" s="4">
        <v>-13.271521733995058</v>
      </c>
      <c r="E99" s="2318" t="str">
        <f>IF(       0.001&lt;0.01,"***",IF(       0.001&lt;0.05,"**",IF(       0.001&lt;0.1,"*","NS")))</f>
        <v>***</v>
      </c>
      <c r="G99" s="296" t="s">
        <v>4977</v>
      </c>
      <c r="H99" s="4">
        <v>31.5243954527431</v>
      </c>
      <c r="I99" s="4">
        <v>17.95137615349428</v>
      </c>
      <c r="J99" s="4">
        <v>-13.573019299248605</v>
      </c>
      <c r="K99" s="2319" t="str">
        <f>IF(       0.001&lt;0.01,"***",IF(       0.001&lt;0.05,"**",IF(       0.001&lt;0.1,"*","NS")))</f>
        <v>***</v>
      </c>
      <c r="L99" s="4">
        <v>19.691628768487359</v>
      </c>
      <c r="M99" s="4">
        <v>-11.83276668425585</v>
      </c>
      <c r="N99" s="2320" t="str">
        <f>IF(       0.043&lt;0.01,"***",IF(       0.043&lt;0.05,"**",IF(       0.043&lt;0.1,"*","NS")))</f>
        <v>**</v>
      </c>
      <c r="P99" s="296" t="s">
        <v>5023</v>
      </c>
      <c r="Q99" s="4">
        <v>28.791020621161771</v>
      </c>
      <c r="R99" s="4">
        <v>19.691628768487359</v>
      </c>
      <c r="S99" s="4">
        <v>-9.0993918526744118</v>
      </c>
      <c r="T99" s="2321" t="str">
        <f>IF(       0.078&lt;0.01,"***",IF(       0.078&lt;0.05,"**",IF(       0.078&lt;0.1,"*","NS")))</f>
        <v>*</v>
      </c>
    </row>
    <row r="100" spans="1:20" x14ac:dyDescent="0.2">
      <c r="A100" s="296" t="s">
        <v>4938</v>
      </c>
      <c r="B100" s="4">
        <v>16.347606800919451</v>
      </c>
      <c r="C100" s="4">
        <v>9.1034840633947667</v>
      </c>
      <c r="D100" s="4">
        <v>-7.2441227375246928</v>
      </c>
      <c r="E100" s="2322" t="str">
        <f>IF(       0.012&lt;0.01,"***",IF(       0.012&lt;0.05,"**",IF(       0.012&lt;0.1,"*","NS")))</f>
        <v>**</v>
      </c>
      <c r="G100" s="296" t="s">
        <v>4978</v>
      </c>
      <c r="H100" s="4">
        <v>16.347606800919451</v>
      </c>
      <c r="I100" s="4">
        <v>9.9529001128547581</v>
      </c>
      <c r="J100" s="4">
        <v>-6.3947066880646863</v>
      </c>
      <c r="K100" s="2323" t="str">
        <f>IF(       0.019&lt;0.01,"***",IF(       0.019&lt;0.05,"**",IF(       0.019&lt;0.1,"*","NS")))</f>
        <v>**</v>
      </c>
      <c r="L100" s="4">
        <v>5.0389460454463597</v>
      </c>
      <c r="M100" s="4">
        <v>-11.308660755473097</v>
      </c>
      <c r="N100" s="2324" t="str">
        <f>IF(       0.03&lt;0.01,"***",IF(       0.03&lt;0.05,"**",IF(       0.03&lt;0.1,"*","NS")))</f>
        <v>**</v>
      </c>
      <c r="P100" s="296" t="s">
        <v>5024</v>
      </c>
      <c r="Q100" s="4">
        <v>15.37406249778639</v>
      </c>
      <c r="R100" s="4">
        <v>5.0389460454463597</v>
      </c>
      <c r="S100" s="4">
        <v>-10.335116452339989</v>
      </c>
      <c r="T100" s="2325" t="str">
        <f>IF(       0.025&lt;0.01,"***",IF(       0.025&lt;0.05,"**",IF(       0.025&lt;0.1,"*","NS")))</f>
        <v>**</v>
      </c>
    </row>
    <row r="101" spans="1:20" x14ac:dyDescent="0.2">
      <c r="A101" s="296" t="s">
        <v>4939</v>
      </c>
      <c r="B101" s="4">
        <v>22.432512462778519</v>
      </c>
      <c r="C101" s="4">
        <v>19.827473742202159</v>
      </c>
      <c r="D101" s="4">
        <v>-2.6050387205763217</v>
      </c>
      <c r="E101" s="2326" t="str">
        <f>IF(       0.42&lt;0.01,"***",IF(       0.42&lt;0.05,"**",IF(       0.42&lt;0.1,"*","NS")))</f>
        <v>NS</v>
      </c>
      <c r="G101" s="296" t="s">
        <v>4979</v>
      </c>
      <c r="H101" s="4">
        <v>22.432512462778519</v>
      </c>
      <c r="I101" s="4">
        <v>20.444867796789929</v>
      </c>
      <c r="J101" s="4">
        <v>-1.9876446659885962</v>
      </c>
      <c r="K101" s="2327" t="str">
        <f>IF(       0.549&lt;0.01,"***",IF(       0.549&lt;0.05,"**",IF(       0.549&lt;0.1,"*","NS")))</f>
        <v>NS</v>
      </c>
      <c r="L101" s="4">
        <v>15.653612623774199</v>
      </c>
      <c r="M101" s="4">
        <v>-6.7788998390042927</v>
      </c>
      <c r="N101" s="2328" t="str">
        <f>IF(       0.02&lt;0.01,"***",IF(       0.02&lt;0.05,"**",IF(       0.02&lt;0.1,"*","NS")))</f>
        <v>**</v>
      </c>
      <c r="P101" s="296" t="s">
        <v>5025</v>
      </c>
      <c r="Q101" s="4">
        <v>21.994657955204399</v>
      </c>
      <c r="R101" s="4">
        <v>15.653612623774199</v>
      </c>
      <c r="S101" s="4">
        <v>-6.3410453314302142</v>
      </c>
      <c r="T101" s="2329" t="str">
        <f>IF(       0.293&lt;0.01,"***",IF(       0.293&lt;0.05,"**",IF(       0.293&lt;0.1,"*","NS")))</f>
        <v>NS</v>
      </c>
    </row>
    <row r="102" spans="1:20" x14ac:dyDescent="0.2">
      <c r="A102" s="296" t="s">
        <v>4940</v>
      </c>
      <c r="B102" s="4" t="s">
        <v>6067</v>
      </c>
      <c r="C102" s="4" t="s">
        <v>6067</v>
      </c>
      <c r="D102" s="4" t="s">
        <v>6067</v>
      </c>
      <c r="E102" s="4" t="s">
        <v>6067</v>
      </c>
      <c r="G102" s="296" t="s">
        <v>4980</v>
      </c>
      <c r="H102" s="4" t="s">
        <v>6067</v>
      </c>
      <c r="I102" s="4" t="s">
        <v>6067</v>
      </c>
      <c r="J102" s="4" t="s">
        <v>6067</v>
      </c>
      <c r="K102" s="4" t="s">
        <v>6067</v>
      </c>
      <c r="L102" s="4" t="s">
        <v>6067</v>
      </c>
      <c r="M102" s="4" t="s">
        <v>6067</v>
      </c>
      <c r="N102" s="4" t="s">
        <v>6067</v>
      </c>
      <c r="P102" s="296" t="s">
        <v>5026</v>
      </c>
      <c r="Q102" s="4" t="s">
        <v>6067</v>
      </c>
      <c r="R102" s="4" t="s">
        <v>6067</v>
      </c>
      <c r="S102" s="4" t="s">
        <v>6067</v>
      </c>
      <c r="T102" s="4" t="s">
        <v>6067</v>
      </c>
    </row>
    <row r="103" spans="1:20" x14ac:dyDescent="0.2">
      <c r="A103" s="296" t="s">
        <v>4941</v>
      </c>
      <c r="B103" s="4">
        <v>41.642830602383377</v>
      </c>
      <c r="C103" s="4">
        <v>32.209744845808622</v>
      </c>
      <c r="D103" s="4">
        <v>-9.4330857565746626</v>
      </c>
      <c r="E103" s="2330" t="str">
        <f>IF(       0.009&lt;0.01,"***",IF(       0.009&lt;0.05,"**",IF(       0.009&lt;0.1,"*","NS")))</f>
        <v>***</v>
      </c>
      <c r="G103" s="296" t="s">
        <v>4981</v>
      </c>
      <c r="H103" s="4">
        <v>41.642830602383377</v>
      </c>
      <c r="I103" s="4">
        <v>33.691634400181243</v>
      </c>
      <c r="J103" s="4">
        <v>-7.9511962022020413</v>
      </c>
      <c r="K103" s="2331" t="str">
        <f>IF(       0.031&lt;0.01,"***",IF(       0.031&lt;0.05,"**",IF(       0.031&lt;0.1,"*","NS")))</f>
        <v>**</v>
      </c>
      <c r="L103" s="4">
        <v>24.79141441925271</v>
      </c>
      <c r="M103" s="4">
        <v>-16.851416183130752</v>
      </c>
      <c r="N103" s="2332" t="str">
        <f>IF(       0.717&lt;0.01,"***",IF(       0.717&lt;0.05,"**",IF(       0.717&lt;0.1,"*","NS")))</f>
        <v>NS</v>
      </c>
      <c r="P103" s="296" t="s">
        <v>5027</v>
      </c>
      <c r="Q103" s="4">
        <v>40.02875120394723</v>
      </c>
      <c r="R103" s="4">
        <v>24.79141441925271</v>
      </c>
      <c r="S103" s="4">
        <v>-15.237336784694616</v>
      </c>
      <c r="T103" s="2333" t="str">
        <f>IF(       0.012&lt;0.01,"***",IF(       0.012&lt;0.05,"**",IF(       0.012&lt;0.1,"*","NS")))</f>
        <v>**</v>
      </c>
    </row>
    <row r="104" spans="1:20" x14ac:dyDescent="0.2">
      <c r="A104" s="296" t="s">
        <v>4942</v>
      </c>
      <c r="B104" s="4">
        <v>92.010007857421101</v>
      </c>
      <c r="C104" s="4">
        <v>94.445507588871152</v>
      </c>
      <c r="D104" s="4">
        <v>2.4354997314500482</v>
      </c>
      <c r="E104" s="2334" t="str">
        <f>IF(       0.259&lt;0.01,"***",IF(       0.259&lt;0.05,"**",IF(       0.259&lt;0.1,"*","NS")))</f>
        <v>NS</v>
      </c>
      <c r="G104" s="296" t="s">
        <v>4982</v>
      </c>
      <c r="H104" s="4">
        <v>92.010007857421101</v>
      </c>
      <c r="I104" s="4">
        <v>93.556288685358467</v>
      </c>
      <c r="J104" s="4">
        <v>1.5462808279373288</v>
      </c>
      <c r="K104" s="2335" t="str">
        <f>IF(       0.51&lt;0.01,"***",IF(       0.51&lt;0.05,"**",IF(       0.51&lt;0.1,"*","NS")))</f>
        <v>NS</v>
      </c>
      <c r="L104" s="4">
        <v>98.037361592237801</v>
      </c>
      <c r="M104" s="4">
        <v>6.0273537348169102</v>
      </c>
      <c r="N104" s="2336" t="str">
        <f>IF(       0.007&lt;0.01,"***",IF(       0.007&lt;0.05,"**",IF(       0.007&lt;0.1,"*","NS")))</f>
        <v>***</v>
      </c>
      <c r="P104" s="296" t="s">
        <v>5028</v>
      </c>
      <c r="Q104" s="4">
        <v>92.17113896822822</v>
      </c>
      <c r="R104" s="4">
        <v>98.037361592237801</v>
      </c>
      <c r="S104" s="4">
        <v>5.8662226240095769</v>
      </c>
      <c r="T104" s="2337" t="str">
        <f>IF(       0.017&lt;0.01,"***",IF(       0.017&lt;0.05,"**",IF(       0.017&lt;0.1,"*","NS")))</f>
        <v>**</v>
      </c>
    </row>
    <row r="105" spans="1:20" x14ac:dyDescent="0.2">
      <c r="A105" s="296" t="s">
        <v>4943</v>
      </c>
      <c r="B105" s="4" t="s">
        <v>6067</v>
      </c>
      <c r="C105" s="4" t="s">
        <v>6067</v>
      </c>
      <c r="D105" s="4" t="s">
        <v>6067</v>
      </c>
      <c r="E105" s="4" t="s">
        <v>6067</v>
      </c>
      <c r="G105" s="296" t="s">
        <v>4983</v>
      </c>
      <c r="H105" s="4" t="s">
        <v>6067</v>
      </c>
      <c r="I105" s="4" t="s">
        <v>6067</v>
      </c>
      <c r="J105" s="4" t="s">
        <v>6067</v>
      </c>
      <c r="K105" s="4" t="s">
        <v>6067</v>
      </c>
      <c r="L105" s="4" t="s">
        <v>6067</v>
      </c>
      <c r="M105" s="4" t="s">
        <v>6067</v>
      </c>
      <c r="N105" s="4" t="s">
        <v>6067</v>
      </c>
      <c r="P105" s="296" t="s">
        <v>5029</v>
      </c>
      <c r="Q105" s="4" t="s">
        <v>6067</v>
      </c>
      <c r="R105" s="4" t="s">
        <v>6067</v>
      </c>
      <c r="S105" s="4" t="s">
        <v>6067</v>
      </c>
      <c r="T105" s="4" t="s">
        <v>6067</v>
      </c>
    </row>
    <row r="106" spans="1:20" x14ac:dyDescent="0.2">
      <c r="A106" s="296" t="s">
        <v>4944</v>
      </c>
      <c r="B106" s="4">
        <v>23.1240029455629</v>
      </c>
      <c r="C106" s="4">
        <v>16.519085989266799</v>
      </c>
      <c r="D106" s="4">
        <v>-6.6049169562960985</v>
      </c>
      <c r="E106" s="2338" t="str">
        <f>IF(       0.017&lt;0.01,"***",IF(       0.017&lt;0.05,"**",IF(       0.017&lt;0.1,"*","NS")))</f>
        <v>**</v>
      </c>
      <c r="G106" s="296" t="s">
        <v>4984</v>
      </c>
      <c r="H106" s="4">
        <v>23.1240029455629</v>
      </c>
      <c r="I106" s="4">
        <v>17.552908152831701</v>
      </c>
      <c r="J106" s="4">
        <v>-5.5710947927312056</v>
      </c>
      <c r="K106" s="2339" t="str">
        <f>IF(       0.052&lt;0.01,"***",IF(       0.052&lt;0.05,"**",IF(       0.052&lt;0.1,"*","NS")))</f>
        <v>*</v>
      </c>
      <c r="L106" s="4">
        <v>13.785638215088669</v>
      </c>
      <c r="M106" s="4">
        <v>-9.3383647304741348</v>
      </c>
      <c r="N106" s="2340" t="str">
        <f>IF(       0.875&lt;0.01,"***",IF(       0.875&lt;0.05,"**",IF(       0.875&lt;0.1,"*","NS")))</f>
        <v>NS</v>
      </c>
      <c r="P106" s="296" t="s">
        <v>5030</v>
      </c>
      <c r="Q106" s="4">
        <v>21.779129596759748</v>
      </c>
      <c r="R106" s="4">
        <v>13.785638215088669</v>
      </c>
      <c r="S106" s="4">
        <v>-7.9934913816711317</v>
      </c>
      <c r="T106" s="2341" t="str">
        <f>IF(       0.057&lt;0.01,"***",IF(       0.057&lt;0.05,"**",IF(       0.057&lt;0.1,"*","NS")))</f>
        <v>*</v>
      </c>
    </row>
    <row r="107" spans="1:20" x14ac:dyDescent="0.2">
      <c r="A107" s="296" t="s">
        <v>4945</v>
      </c>
      <c r="B107" s="4">
        <v>17.004117100145649</v>
      </c>
      <c r="C107" s="4">
        <v>13.641761520295921</v>
      </c>
      <c r="D107" s="4">
        <v>-3.3623555798497486</v>
      </c>
      <c r="E107" s="2342" t="str">
        <f>IF(       0.128&lt;0.01,"***",IF(       0.128&lt;0.05,"**",IF(       0.128&lt;0.1,"*","NS")))</f>
        <v>NS</v>
      </c>
      <c r="G107" s="296" t="s">
        <v>4985</v>
      </c>
      <c r="H107" s="4">
        <v>17.004117100145649</v>
      </c>
      <c r="I107" s="4">
        <v>13.59002199513613</v>
      </c>
      <c r="J107" s="4">
        <v>-3.4140951050094834</v>
      </c>
      <c r="K107" s="2343" t="str">
        <f>IF(       0.124&lt;0.01,"***",IF(       0.124&lt;0.05,"**",IF(       0.124&lt;0.1,"*","NS")))</f>
        <v>NS</v>
      </c>
      <c r="L107" s="4">
        <v>13.945383418063839</v>
      </c>
      <c r="M107" s="4">
        <v>-3.0587336820817903</v>
      </c>
      <c r="N107" s="2344" t="str">
        <f>IF(       0.034&lt;0.01,"***",IF(       0.034&lt;0.05,"**",IF(       0.034&lt;0.1,"*","NS")))</f>
        <v>**</v>
      </c>
      <c r="P107" s="296" t="s">
        <v>5031</v>
      </c>
      <c r="Q107" s="4">
        <v>15.91180734850245</v>
      </c>
      <c r="R107" s="4">
        <v>13.945383418063839</v>
      </c>
      <c r="S107" s="4">
        <v>-1.9664239304385627</v>
      </c>
      <c r="T107" s="2345" t="str">
        <f>IF(       0.553&lt;0.01,"***",IF(       0.553&lt;0.05,"**",IF(       0.553&lt;0.1,"*","NS")))</f>
        <v>NS</v>
      </c>
    </row>
    <row r="108" spans="1:20" x14ac:dyDescent="0.2">
      <c r="A108" s="296" t="s">
        <v>4946</v>
      </c>
      <c r="B108" s="4">
        <v>50.801134711917719</v>
      </c>
      <c r="C108" s="4">
        <v>45.290655117893287</v>
      </c>
      <c r="D108" s="4">
        <v>-5.5104795940244511</v>
      </c>
      <c r="E108" s="2346" t="str">
        <f>IF(       0.068&lt;0.01,"***",IF(       0.068&lt;0.05,"**",IF(       0.068&lt;0.1,"*","NS")))</f>
        <v>*</v>
      </c>
      <c r="G108" s="296" t="s">
        <v>4986</v>
      </c>
      <c r="H108" s="4">
        <v>50.801134711917719</v>
      </c>
      <c r="I108" s="4">
        <v>47.35161159193094</v>
      </c>
      <c r="J108" s="4">
        <v>-3.4495231199868077</v>
      </c>
      <c r="K108" s="2347" t="str">
        <f>IF(       0.275&lt;0.01,"***",IF(       0.275&lt;0.05,"**",IF(       0.275&lt;0.1,"*","NS")))</f>
        <v>NS</v>
      </c>
      <c r="L108" s="4">
        <v>36.978138374129912</v>
      </c>
      <c r="M108" s="4">
        <v>-13.822996337787668</v>
      </c>
      <c r="N108" s="2348" t="str">
        <f>IF(       0.399&lt;0.01,"***",IF(       0.399&lt;0.05,"**",IF(       0.399&lt;0.1,"*","NS")))</f>
        <v>NS</v>
      </c>
      <c r="P108" s="296" t="s">
        <v>5032</v>
      </c>
      <c r="Q108" s="4">
        <v>50.27133598775162</v>
      </c>
      <c r="R108" s="4">
        <v>36.978138374129912</v>
      </c>
      <c r="S108" s="4">
        <v>-13.293197613621828</v>
      </c>
      <c r="T108" s="2349" t="str">
        <f>IF(       0.047&lt;0.01,"***",IF(       0.047&lt;0.05,"**",IF(       0.047&lt;0.1,"*","NS")))</f>
        <v>**</v>
      </c>
    </row>
    <row r="109" spans="1:20" x14ac:dyDescent="0.2">
      <c r="A109" s="296" t="s">
        <v>4947</v>
      </c>
      <c r="B109" s="4">
        <v>72.328930116190335</v>
      </c>
      <c r="C109" s="4">
        <v>54.283792922341632</v>
      </c>
      <c r="D109" s="4">
        <v>-18.045137193848763</v>
      </c>
      <c r="E109" s="2350" t="str">
        <f>IF(       0&lt;0.01,"***",IF(       0&lt;0.05,"**",IF(       0&lt;0.1,"*","NS")))</f>
        <v>***</v>
      </c>
      <c r="G109" s="296" t="s">
        <v>4987</v>
      </c>
      <c r="H109" s="4">
        <v>72.328930116190335</v>
      </c>
      <c r="I109" s="4">
        <v>56.748047400964559</v>
      </c>
      <c r="J109" s="4">
        <v>-15.580882715225643</v>
      </c>
      <c r="K109" s="2351" t="str">
        <f>IF(       0&lt;0.01,"***",IF(       0&lt;0.05,"**",IF(       0&lt;0.1,"*","NS")))</f>
        <v>***</v>
      </c>
      <c r="L109" s="4">
        <v>41.066096755489212</v>
      </c>
      <c r="M109" s="4">
        <v>-31.262833360701389</v>
      </c>
      <c r="N109" s="2352" t="str">
        <f>IF(       0.041&lt;0.01,"***",IF(       0.041&lt;0.05,"**",IF(       0.041&lt;0.1,"*","NS")))</f>
        <v>**</v>
      </c>
      <c r="P109" s="296" t="s">
        <v>5033</v>
      </c>
      <c r="Q109" s="4">
        <v>70.01108197110284</v>
      </c>
      <c r="R109" s="4">
        <v>41.066096755489212</v>
      </c>
      <c r="S109" s="4">
        <v>-28.94498521561421</v>
      </c>
      <c r="T109" s="2353" t="str">
        <f>IF(       0&lt;0.01,"***",IF(       0&lt;0.05,"**",IF(       0&lt;0.1,"*","NS")))</f>
        <v>***</v>
      </c>
    </row>
    <row r="110" spans="1:20" x14ac:dyDescent="0.2">
      <c r="A110" s="296" t="s">
        <v>4948</v>
      </c>
      <c r="B110" s="4">
        <v>27.878189953959371</v>
      </c>
      <c r="C110" s="4">
        <v>16.125172945515342</v>
      </c>
      <c r="D110" s="4">
        <v>-11.753017008443884</v>
      </c>
      <c r="E110" s="2354" t="str">
        <f>IF(       0.002&lt;0.01,"***",IF(       0.002&lt;0.05,"**",IF(       0.002&lt;0.1,"*","NS")))</f>
        <v>***</v>
      </c>
      <c r="G110" s="296" t="s">
        <v>4988</v>
      </c>
      <c r="H110" s="4">
        <v>27.878189953959371</v>
      </c>
      <c r="I110" s="4">
        <v>15.463058585483511</v>
      </c>
      <c r="J110" s="4">
        <v>-12.41513136847585</v>
      </c>
      <c r="K110" s="2355" t="str">
        <f>IF(       0.002&lt;0.01,"***",IF(       0.002&lt;0.05,"**",IF(       0.002&lt;0.1,"*","NS")))</f>
        <v>***</v>
      </c>
      <c r="L110" s="4">
        <v>18.722091410480449</v>
      </c>
      <c r="M110" s="4">
        <v>-9.1560985434790023</v>
      </c>
      <c r="N110" s="2356" t="str">
        <f>IF(       0&lt;0.01,"***",IF(       0&lt;0.05,"**",IF(       0&lt;0.1,"*","NS")))</f>
        <v>***</v>
      </c>
      <c r="P110" s="296" t="s">
        <v>5034</v>
      </c>
      <c r="Q110" s="4">
        <v>26.17314288729148</v>
      </c>
      <c r="R110" s="4">
        <v>18.722091410480449</v>
      </c>
      <c r="S110" s="4">
        <v>-7.4510514768110765</v>
      </c>
      <c r="T110" s="2357" t="str">
        <f>IF(       0.186&lt;0.01,"***",IF(       0.186&lt;0.05,"**",IF(       0.186&lt;0.1,"*","NS")))</f>
        <v>NS</v>
      </c>
    </row>
    <row r="111" spans="1:20" x14ac:dyDescent="0.2">
      <c r="A111" s="296" t="s">
        <v>4949</v>
      </c>
      <c r="B111" s="4">
        <v>22.156410239768611</v>
      </c>
      <c r="C111" s="4">
        <v>16.327071029812611</v>
      </c>
      <c r="D111" s="4">
        <v>-5.8293392099560837</v>
      </c>
      <c r="E111" s="2358" t="str">
        <f>IF(       0.023&lt;0.01,"***",IF(       0.023&lt;0.05,"**",IF(       0.023&lt;0.1,"*","NS")))</f>
        <v>**</v>
      </c>
      <c r="G111" s="296" t="s">
        <v>4989</v>
      </c>
      <c r="H111" s="4">
        <v>22.156410239768611</v>
      </c>
      <c r="I111" s="4">
        <v>16.639205486327018</v>
      </c>
      <c r="J111" s="4">
        <v>-5.5172047534415842</v>
      </c>
      <c r="K111" s="2359" t="str">
        <f>IF(       0.054&lt;0.01,"***",IF(       0.054&lt;0.05,"**",IF(       0.054&lt;0.1,"*","NS")))</f>
        <v>*</v>
      </c>
      <c r="L111" s="4">
        <v>15.12185521470659</v>
      </c>
      <c r="M111" s="4">
        <v>-7.0345550250619651</v>
      </c>
      <c r="N111" s="2360" t="str">
        <f>IF(       0.113&lt;0.01,"***",IF(       0.113&lt;0.05,"**",IF(       0.113&lt;0.1,"*","NS")))</f>
        <v>NS</v>
      </c>
      <c r="P111" s="296" t="s">
        <v>5035</v>
      </c>
      <c r="Q111" s="4">
        <v>20.701264754444288</v>
      </c>
      <c r="R111" s="4">
        <v>15.12185521470659</v>
      </c>
      <c r="S111" s="4">
        <v>-5.5794095397376759</v>
      </c>
      <c r="T111" s="2361" t="str">
        <f>IF(       0.008&lt;0.01,"***",IF(       0.008&lt;0.05,"**",IF(       0.008&lt;0.1,"*","NS")))</f>
        <v>***</v>
      </c>
    </row>
    <row r="112" spans="1:20" x14ac:dyDescent="0.2">
      <c r="A112" s="296" t="s">
        <v>4950</v>
      </c>
      <c r="B112" s="4">
        <v>17.702070547418391</v>
      </c>
      <c r="C112" s="4">
        <v>12.71595833859849</v>
      </c>
      <c r="D112" s="4">
        <v>-4.9861122088198417</v>
      </c>
      <c r="E112" s="2362" t="str">
        <f>IF(       0.016&lt;0.01,"***",IF(       0.016&lt;0.05,"**",IF(       0.016&lt;0.1,"*","NS")))</f>
        <v>**</v>
      </c>
      <c r="G112" s="296" t="s">
        <v>4990</v>
      </c>
      <c r="H112" s="4">
        <v>17.702070547418391</v>
      </c>
      <c r="I112" s="4">
        <v>11.84649451809114</v>
      </c>
      <c r="J112" s="4">
        <v>-5.855576029327251</v>
      </c>
      <c r="K112" s="2363" t="str">
        <f>IF(       0.019&lt;0.01,"***",IF(       0.019&lt;0.05,"**",IF(       0.019&lt;0.1,"*","NS")))</f>
        <v>**</v>
      </c>
      <c r="L112" s="4">
        <v>17.843767968619709</v>
      </c>
      <c r="M112" s="4">
        <v>0.14169742120126702</v>
      </c>
      <c r="N112" s="2364" t="str">
        <f>IF(       0.003&lt;0.01,"***",IF(       0.003&lt;0.05,"**",IF(       0.003&lt;0.1,"*","NS")))</f>
        <v>***</v>
      </c>
      <c r="P112" s="296" t="s">
        <v>5036</v>
      </c>
      <c r="Q112" s="4">
        <v>16.614634266911381</v>
      </c>
      <c r="R112" s="4">
        <v>17.843767968619709</v>
      </c>
      <c r="S112" s="4">
        <v>1.2291337017084223</v>
      </c>
      <c r="T112" s="2365" t="str">
        <f>IF(       0.756&lt;0.01,"***",IF(       0.756&lt;0.05,"**",IF(       0.756&lt;0.1,"*","NS")))</f>
        <v>NS</v>
      </c>
    </row>
    <row r="113" spans="1:20" x14ac:dyDescent="0.2">
      <c r="A113" s="296" t="s">
        <v>5835</v>
      </c>
      <c r="B113" s="4">
        <v>38.360374218900851</v>
      </c>
      <c r="C113" s="4">
        <v>26.254885192941089</v>
      </c>
      <c r="D113" s="4">
        <v>-12.10548902596026</v>
      </c>
      <c r="E113" s="2366" t="str">
        <f>IF(       0&lt;0.01,"***",IF(       0&lt;0.05,"**",IF(       0&lt;0.1,"*","NS")))</f>
        <v>***</v>
      </c>
      <c r="G113" s="296" t="s">
        <v>5835</v>
      </c>
      <c r="H113" s="4">
        <v>38.360374218900851</v>
      </c>
      <c r="I113" s="4">
        <v>26.73713848502161</v>
      </c>
      <c r="J113" s="4">
        <v>-11.623235733879209</v>
      </c>
      <c r="K113" s="2367" t="str">
        <f>IF(       0&lt;0.01,"***",IF(       0&lt;0.05,"**",IF(       0&lt;0.1,"*","NS")))</f>
        <v>***</v>
      </c>
      <c r="L113" s="4">
        <v>23.891325755812549</v>
      </c>
      <c r="M113" s="4">
        <v>-14.469048463088377</v>
      </c>
      <c r="N113" s="2368" t="str">
        <f>IF(       0&lt;0.01,"***",IF(       0&lt;0.05,"**",IF(       0&lt;0.1,"*","NS")))</f>
        <v>***</v>
      </c>
      <c r="P113" s="296" t="s">
        <v>5835</v>
      </c>
      <c r="Q113" s="4">
        <v>36.135803574047962</v>
      </c>
      <c r="R113" s="4">
        <v>23.891325755812549</v>
      </c>
      <c r="S113" s="4">
        <v>-12.244477818236509</v>
      </c>
      <c r="T113" s="2369" t="str">
        <f>IF(       0&lt;0.01,"***",IF(       0&lt;0.05,"**",IF(       0&lt;0.1,"*","NS")))</f>
        <v>***</v>
      </c>
    </row>
    <row r="115" spans="1:20" x14ac:dyDescent="0.2">
      <c r="A115" s="296" t="s">
        <v>5774</v>
      </c>
      <c r="G115" s="296" t="s">
        <v>5775</v>
      </c>
      <c r="P115" s="296" t="s">
        <v>5776</v>
      </c>
    </row>
    <row r="116" spans="1:20" s="3" customFormat="1" x14ac:dyDescent="0.2">
      <c r="A116" s="5730" t="s">
        <v>4951</v>
      </c>
      <c r="B116" s="5731" t="s">
        <v>4952</v>
      </c>
      <c r="C116" s="5732" t="s">
        <v>4953</v>
      </c>
      <c r="D116" s="5733" t="s">
        <v>4954</v>
      </c>
      <c r="E116" s="5734" t="s">
        <v>4955</v>
      </c>
      <c r="G116" s="5735" t="s">
        <v>4991</v>
      </c>
      <c r="H116" s="5736" t="s">
        <v>4992</v>
      </c>
      <c r="I116" s="5737" t="s">
        <v>4993</v>
      </c>
      <c r="J116" s="5738" t="s">
        <v>4994</v>
      </c>
      <c r="K116" s="5739" t="s">
        <v>4995</v>
      </c>
      <c r="L116" s="5740" t="s">
        <v>5014</v>
      </c>
      <c r="M116" s="5741" t="s">
        <v>5015</v>
      </c>
      <c r="N116" s="5742" t="s">
        <v>5016</v>
      </c>
      <c r="P116" s="5743" t="s">
        <v>5037</v>
      </c>
      <c r="Q116" s="5744" t="s">
        <v>5038</v>
      </c>
      <c r="R116" s="5745" t="s">
        <v>5039</v>
      </c>
      <c r="S116" s="5746" t="s">
        <v>5040</v>
      </c>
      <c r="T116" s="5747" t="s">
        <v>5041</v>
      </c>
    </row>
    <row r="117" spans="1:20" x14ac:dyDescent="0.2">
      <c r="A117" s="296" t="s">
        <v>4956</v>
      </c>
      <c r="B117" s="4">
        <v>10.52749259202024</v>
      </c>
      <c r="C117" s="4">
        <v>9.4560308773387352</v>
      </c>
      <c r="D117" s="4">
        <v>-1.0714617146815004</v>
      </c>
      <c r="E117" s="2370" t="str">
        <f>IF(       0.648&lt;0.01,"***",IF(       0.648&lt;0.05,"**",IF(       0.648&lt;0.1,"*","NS")))</f>
        <v>NS</v>
      </c>
      <c r="G117" s="296" t="s">
        <v>4996</v>
      </c>
      <c r="H117" s="4">
        <v>10.52749259202024</v>
      </c>
      <c r="I117" s="4">
        <v>9.5154225760673459</v>
      </c>
      <c r="J117" s="4">
        <v>-1.0120700159528915</v>
      </c>
      <c r="K117" s="2371" t="str">
        <f>IF(       0.609&lt;0.01,"***",IF(       0.609&lt;0.05,"**",IF(       0.609&lt;0.1,"*","NS")))</f>
        <v>NS</v>
      </c>
      <c r="L117" s="4">
        <v>9.3348114327322591</v>
      </c>
      <c r="M117" s="4">
        <v>-1.1926811592879818</v>
      </c>
      <c r="N117" s="2372" t="str">
        <f>IF(       0.757&lt;0.01,"***",IF(       0.757&lt;0.05,"**",IF(       0.757&lt;0.1,"*","NS")))</f>
        <v>NS</v>
      </c>
      <c r="P117" s="296" t="s">
        <v>5042</v>
      </c>
      <c r="Q117" s="4">
        <v>9.8644401473286685</v>
      </c>
      <c r="R117" s="4">
        <v>9.3348114327322591</v>
      </c>
      <c r="S117" s="4">
        <v>-0.52962871459640959</v>
      </c>
      <c r="T117" s="2373" t="str">
        <f>IF(       0.867&lt;0.01,"***",IF(       0.867&lt;0.05,"**",IF(       0.867&lt;0.1,"*","NS")))</f>
        <v>NS</v>
      </c>
    </row>
    <row r="118" spans="1:20" x14ac:dyDescent="0.2">
      <c r="A118" s="296" t="s">
        <v>4957</v>
      </c>
      <c r="B118" s="4">
        <v>33.319502661801963</v>
      </c>
      <c r="C118" s="4">
        <v>25.183753960080551</v>
      </c>
      <c r="D118" s="4">
        <v>-8.1357487017213952</v>
      </c>
      <c r="E118" s="2374" t="str">
        <f>IF(       0.047&lt;0.01,"***",IF(       0.047&lt;0.05,"**",IF(       0.047&lt;0.1,"*","NS")))</f>
        <v>**</v>
      </c>
      <c r="G118" s="296" t="s">
        <v>4997</v>
      </c>
      <c r="H118" s="4">
        <v>33.319502661801963</v>
      </c>
      <c r="I118" s="4">
        <v>27.2687067355122</v>
      </c>
      <c r="J118" s="4">
        <v>-6.0507959262897524</v>
      </c>
      <c r="K118" s="2375" t="str">
        <f>IF(       0.218&lt;0.01,"***",IF(       0.218&lt;0.05,"**",IF(       0.218&lt;0.1,"*","NS")))</f>
        <v>NS</v>
      </c>
      <c r="L118" s="4">
        <v>21.648002690285178</v>
      </c>
      <c r="M118" s="4">
        <v>-11.671499971516779</v>
      </c>
      <c r="N118" s="2376" t="str">
        <f>IF(       0.002&lt;0.01,"***",IF(       0.002&lt;0.05,"**",IF(       0.002&lt;0.1,"*","NS")))</f>
        <v>***</v>
      </c>
      <c r="P118" s="296" t="s">
        <v>5043</v>
      </c>
      <c r="Q118" s="4">
        <v>29.685602738974051</v>
      </c>
      <c r="R118" s="4">
        <v>21.648002690285178</v>
      </c>
      <c r="S118" s="4">
        <v>-8.037600048688887</v>
      </c>
      <c r="T118" s="2377" t="str">
        <f>IF(       0.012&lt;0.01,"***",IF(       0.012&lt;0.05,"**",IF(       0.012&lt;0.1,"*","NS")))</f>
        <v>**</v>
      </c>
    </row>
    <row r="119" spans="1:20" x14ac:dyDescent="0.2">
      <c r="A119" s="296" t="s">
        <v>4958</v>
      </c>
      <c r="B119" s="4">
        <v>16.606998686726818</v>
      </c>
      <c r="C119" s="4">
        <v>7.8823687677095249</v>
      </c>
      <c r="D119" s="4">
        <v>-8.7246299190173051</v>
      </c>
      <c r="E119" s="2378" t="str">
        <f>IF(       0.006&lt;0.01,"***",IF(       0.006&lt;0.05,"**",IF(       0.006&lt;0.1,"*","NS")))</f>
        <v>***</v>
      </c>
      <c r="G119" s="296" t="s">
        <v>4998</v>
      </c>
      <c r="H119" s="4">
        <v>16.606998686726818</v>
      </c>
      <c r="I119" s="4">
        <v>9.0527027861478793</v>
      </c>
      <c r="J119" s="4">
        <v>-7.5542959005789534</v>
      </c>
      <c r="K119" s="2379" t="str">
        <f>IF(       0.02&lt;0.01,"***",IF(       0.02&lt;0.05,"**",IF(       0.02&lt;0.1,"*","NS")))</f>
        <v>**</v>
      </c>
      <c r="L119" s="4">
        <v>5.2444114121527026</v>
      </c>
      <c r="M119" s="4">
        <v>-11.362587274574096</v>
      </c>
      <c r="N119" s="2380" t="str">
        <f>IF(       0.008&lt;0.01,"***",IF(       0.008&lt;0.05,"**",IF(       0.008&lt;0.1,"*","NS")))</f>
        <v>***</v>
      </c>
      <c r="P119" s="296" t="s">
        <v>5044</v>
      </c>
      <c r="Q119" s="4">
        <v>12.99072879856072</v>
      </c>
      <c r="R119" s="4">
        <v>5.2444114121527026</v>
      </c>
      <c r="S119" s="4">
        <v>-7.7463173864080419</v>
      </c>
      <c r="T119" s="2381" t="str">
        <f>IF(       0.036&lt;0.01,"***",IF(       0.036&lt;0.05,"**",IF(       0.036&lt;0.1,"*","NS")))</f>
        <v>**</v>
      </c>
    </row>
    <row r="120" spans="1:20" x14ac:dyDescent="0.2">
      <c r="A120" s="296" t="s">
        <v>4959</v>
      </c>
      <c r="B120" s="4">
        <v>24.058798013803589</v>
      </c>
      <c r="C120" s="4">
        <v>19.287580854377051</v>
      </c>
      <c r="D120" s="4">
        <v>-4.7712171594265573</v>
      </c>
      <c r="E120" s="2382" t="str">
        <f>IF(       0.266&lt;0.01,"***",IF(       0.266&lt;0.05,"**",IF(       0.266&lt;0.1,"*","NS")))</f>
        <v>NS</v>
      </c>
      <c r="G120" s="296" t="s">
        <v>4999</v>
      </c>
      <c r="H120" s="4">
        <v>24.058798013803589</v>
      </c>
      <c r="I120" s="4">
        <v>20.694543921361142</v>
      </c>
      <c r="J120" s="4">
        <v>-3.3642540924424438</v>
      </c>
      <c r="K120" s="2383" t="str">
        <f>IF(       0.454&lt;0.01,"***",IF(       0.454&lt;0.05,"**",IF(       0.454&lt;0.1,"*","NS")))</f>
        <v>NS</v>
      </c>
      <c r="L120" s="4">
        <v>16.01059003511919</v>
      </c>
      <c r="M120" s="4">
        <v>-8.0482079786843794</v>
      </c>
      <c r="N120" s="2384" t="str">
        <f>IF(       0.135&lt;0.01,"***",IF(       0.135&lt;0.05,"**",IF(       0.135&lt;0.1,"*","NS")))</f>
        <v>NS</v>
      </c>
      <c r="P120" s="296" t="s">
        <v>5045</v>
      </c>
      <c r="Q120" s="4">
        <v>22.208538710301902</v>
      </c>
      <c r="R120" s="4">
        <v>16.01059003511919</v>
      </c>
      <c r="S120" s="4">
        <v>-6.1979486751826984</v>
      </c>
      <c r="T120" s="2385" t="str">
        <f>IF(       0.166&lt;0.01,"***",IF(       0.166&lt;0.05,"**",IF(       0.166&lt;0.1,"*","NS")))</f>
        <v>NS</v>
      </c>
    </row>
    <row r="121" spans="1:20" x14ac:dyDescent="0.2">
      <c r="A121" s="296" t="s">
        <v>4960</v>
      </c>
      <c r="B121" s="4">
        <v>16.88225487294541</v>
      </c>
      <c r="C121" s="4">
        <v>18.10448722433847</v>
      </c>
      <c r="D121" s="4">
        <v>1.2222323513930613</v>
      </c>
      <c r="E121" s="2386" t="str">
        <f>IF(       0.753&lt;0.01,"***",IF(       0.753&lt;0.05,"**",IF(       0.753&lt;0.1,"*","NS")))</f>
        <v>NS</v>
      </c>
      <c r="G121" s="296" t="s">
        <v>5000</v>
      </c>
      <c r="H121" s="4">
        <v>16.88225487294541</v>
      </c>
      <c r="I121" s="4">
        <v>18.964395066285551</v>
      </c>
      <c r="J121" s="4">
        <v>2.0821401933401313</v>
      </c>
      <c r="K121" s="2387" t="str">
        <f>IF(       0.538&lt;0.01,"***",IF(       0.538&lt;0.05,"**",IF(       0.538&lt;0.1,"*","NS")))</f>
        <v>NS</v>
      </c>
      <c r="L121" s="4">
        <v>15.4188914705549</v>
      </c>
      <c r="M121" s="4">
        <v>-1.4633634023905118</v>
      </c>
      <c r="N121" s="2388" t="str">
        <f>IF(       0.842&lt;0.01,"***",IF(       0.842&lt;0.05,"**",IF(       0.842&lt;0.1,"*","NS")))</f>
        <v>NS</v>
      </c>
      <c r="P121" s="296" t="s">
        <v>5046</v>
      </c>
      <c r="Q121" s="4">
        <v>18.120026061702681</v>
      </c>
      <c r="R121" s="4">
        <v>15.4188914705549</v>
      </c>
      <c r="S121" s="4">
        <v>-2.701134591147798</v>
      </c>
      <c r="T121" s="2389" t="str">
        <f>IF(       0.673&lt;0.01,"***",IF(       0.673&lt;0.05,"**",IF(       0.673&lt;0.1,"*","NS")))</f>
        <v>NS</v>
      </c>
    </row>
    <row r="122" spans="1:20" x14ac:dyDescent="0.2">
      <c r="A122" s="296" t="s">
        <v>4961</v>
      </c>
      <c r="B122" s="4">
        <v>42.737105641414537</v>
      </c>
      <c r="C122" s="4">
        <v>28.990309795869141</v>
      </c>
      <c r="D122" s="4">
        <v>-13.746795845545476</v>
      </c>
      <c r="E122" s="2390" t="str">
        <f>IF(       0.019&lt;0.01,"***",IF(       0.019&lt;0.05,"**",IF(       0.019&lt;0.1,"*","NS")))</f>
        <v>**</v>
      </c>
      <c r="G122" s="296" t="s">
        <v>5001</v>
      </c>
      <c r="H122" s="4">
        <v>42.737105641414537</v>
      </c>
      <c r="I122" s="4">
        <v>31.27528411256062</v>
      </c>
      <c r="J122" s="4">
        <v>-11.461821528853886</v>
      </c>
      <c r="K122" s="2391" t="str">
        <f>IF(       0.06&lt;0.01,"***",IF(       0.06&lt;0.05,"**",IF(       0.06&lt;0.1,"*","NS")))</f>
        <v>*</v>
      </c>
      <c r="L122" s="4">
        <v>24.219163926264802</v>
      </c>
      <c r="M122" s="4">
        <v>-18.517941715149693</v>
      </c>
      <c r="N122" s="2392" t="str">
        <f>IF(       0.003&lt;0.01,"***",IF(       0.003&lt;0.05,"**",IF(       0.003&lt;0.1,"*","NS")))</f>
        <v>***</v>
      </c>
      <c r="P122" s="296" t="s">
        <v>5047</v>
      </c>
      <c r="Q122" s="4">
        <v>36.137777036356823</v>
      </c>
      <c r="R122" s="4">
        <v>24.219163926264802</v>
      </c>
      <c r="S122" s="4">
        <v>-11.9186131100921</v>
      </c>
      <c r="T122" s="2393" t="str">
        <f>IF(       0.006&lt;0.01,"***",IF(       0.006&lt;0.05,"**",IF(       0.006&lt;0.1,"*","NS")))</f>
        <v>***</v>
      </c>
    </row>
    <row r="123" spans="1:20" x14ac:dyDescent="0.2">
      <c r="A123" s="296" t="s">
        <v>4962</v>
      </c>
      <c r="B123" s="4" t="s">
        <v>6067</v>
      </c>
      <c r="C123" s="4" t="s">
        <v>6067</v>
      </c>
      <c r="D123" s="4" t="s">
        <v>6067</v>
      </c>
      <c r="E123" s="4" t="s">
        <v>6067</v>
      </c>
      <c r="G123" s="296" t="s">
        <v>5002</v>
      </c>
      <c r="H123" s="4" t="s">
        <v>6067</v>
      </c>
      <c r="I123" s="4" t="s">
        <v>6067</v>
      </c>
      <c r="J123" s="4" t="s">
        <v>6067</v>
      </c>
      <c r="K123" s="4" t="s">
        <v>6067</v>
      </c>
      <c r="L123" s="4" t="s">
        <v>6067</v>
      </c>
      <c r="M123" s="4" t="s">
        <v>6067</v>
      </c>
      <c r="N123" s="4" t="s">
        <v>6067</v>
      </c>
      <c r="P123" s="296" t="s">
        <v>5048</v>
      </c>
      <c r="Q123" s="4" t="s">
        <v>6067</v>
      </c>
      <c r="R123" s="4" t="s">
        <v>6067</v>
      </c>
      <c r="S123" s="4" t="s">
        <v>6067</v>
      </c>
      <c r="T123" s="4" t="s">
        <v>6067</v>
      </c>
    </row>
    <row r="124" spans="1:20" x14ac:dyDescent="0.2">
      <c r="A124" s="296" t="s">
        <v>4963</v>
      </c>
      <c r="B124" s="4">
        <v>1.197199565500048</v>
      </c>
      <c r="C124" s="4">
        <v>1.449382471168805</v>
      </c>
      <c r="D124" s="4">
        <v>0.25218290566875734</v>
      </c>
      <c r="E124" s="2394" t="str">
        <f>IF(       0.727&lt;0.01,"***",IF(       0.727&lt;0.05,"**",IF(       0.727&lt;0.1,"*","NS")))</f>
        <v>NS</v>
      </c>
      <c r="G124" s="296" t="s">
        <v>5003</v>
      </c>
      <c r="H124" s="4">
        <v>1.197199565500048</v>
      </c>
      <c r="I124" s="4">
        <v>1.602379160788177</v>
      </c>
      <c r="J124" s="4">
        <v>0.40517959528812769</v>
      </c>
      <c r="K124" s="2395" t="str">
        <f>IF(       0.5&lt;0.01,"***",IF(       0.5&lt;0.05,"**",IF(       0.5&lt;0.1,"*","NS")))</f>
        <v>NS</v>
      </c>
      <c r="L124" s="4">
        <v>1.0466405813002679</v>
      </c>
      <c r="M124" s="4">
        <v>-0.15055898419978062</v>
      </c>
      <c r="N124" s="2396" t="str">
        <f>IF(       0.895&lt;0.01,"***",IF(       0.895&lt;0.05,"**",IF(       0.895&lt;0.1,"*","NS")))</f>
        <v>NS</v>
      </c>
      <c r="P124" s="296" t="s">
        <v>5049</v>
      </c>
      <c r="Q124" s="4">
        <v>1.365018643441575</v>
      </c>
      <c r="R124" s="4">
        <v>1.0466405813002679</v>
      </c>
      <c r="S124" s="4">
        <v>-0.31837806214130832</v>
      </c>
      <c r="T124" s="2397" t="str">
        <f>IF(       0.737&lt;0.01,"***",IF(       0.737&lt;0.05,"**",IF(       0.737&lt;0.1,"*","NS")))</f>
        <v>NS</v>
      </c>
    </row>
    <row r="125" spans="1:20" x14ac:dyDescent="0.2">
      <c r="A125" s="296" t="s">
        <v>4964</v>
      </c>
      <c r="B125" s="4">
        <v>30.72741540984017</v>
      </c>
      <c r="C125" s="4">
        <v>17.08077345324817</v>
      </c>
      <c r="D125" s="4">
        <v>-13.646641956592118</v>
      </c>
      <c r="E125" s="2398" t="str">
        <f>IF(       0.016&lt;0.01,"***",IF(       0.016&lt;0.05,"**",IF(       0.016&lt;0.1,"*","NS")))</f>
        <v>**</v>
      </c>
      <c r="G125" s="296" t="s">
        <v>5004</v>
      </c>
      <c r="H125" s="4">
        <v>30.72741540984017</v>
      </c>
      <c r="I125" s="4">
        <v>17.111679492666671</v>
      </c>
      <c r="J125" s="4">
        <v>-13.615735917173474</v>
      </c>
      <c r="K125" s="2399" t="str">
        <f>IF(       0.012&lt;0.01,"***",IF(       0.012&lt;0.05,"**",IF(       0.012&lt;0.1,"*","NS")))</f>
        <v>**</v>
      </c>
      <c r="L125" s="4">
        <v>17.047358059269609</v>
      </c>
      <c r="M125" s="4">
        <v>-13.680057350570589</v>
      </c>
      <c r="N125" s="2400" t="str">
        <f>IF(       0.026&lt;0.01,"***",IF(       0.026&lt;0.05,"**",IF(       0.026&lt;0.1,"*","NS")))</f>
        <v>**</v>
      </c>
      <c r="P125" s="296" t="s">
        <v>5050</v>
      </c>
      <c r="Q125" s="4">
        <v>21.641969928356929</v>
      </c>
      <c r="R125" s="4">
        <v>17.047358059269609</v>
      </c>
      <c r="S125" s="4">
        <v>-4.5946118690873181</v>
      </c>
      <c r="T125" s="2401" t="str">
        <f>IF(       0.161&lt;0.01,"***",IF(       0.161&lt;0.05,"**",IF(       0.161&lt;0.1,"*","NS")))</f>
        <v>NS</v>
      </c>
    </row>
    <row r="126" spans="1:20" x14ac:dyDescent="0.2">
      <c r="A126" s="296" t="s">
        <v>4965</v>
      </c>
      <c r="B126" s="4">
        <v>19.06522304391401</v>
      </c>
      <c r="C126" s="4">
        <v>12.800033404200761</v>
      </c>
      <c r="D126" s="4">
        <v>-6.2651896397132614</v>
      </c>
      <c r="E126" s="2402" t="str">
        <f>IF(       0.111&lt;0.01,"***",IF(       0.111&lt;0.05,"**",IF(       0.111&lt;0.1,"*","NS")))</f>
        <v>NS</v>
      </c>
      <c r="G126" s="296" t="s">
        <v>5005</v>
      </c>
      <c r="H126" s="4">
        <v>19.06522304391401</v>
      </c>
      <c r="I126" s="4">
        <v>14.94527012815354</v>
      </c>
      <c r="J126" s="4">
        <v>-4.1199529157604484</v>
      </c>
      <c r="K126" s="2403" t="str">
        <f>IF(       0.321&lt;0.01,"***",IF(       0.321&lt;0.05,"**",IF(       0.321&lt;0.1,"*","NS")))</f>
        <v>NS</v>
      </c>
      <c r="L126" s="4">
        <v>9.1445143714706916</v>
      </c>
      <c r="M126" s="4">
        <v>-9.9207086724433289</v>
      </c>
      <c r="N126" s="2404" t="str">
        <f>IF(       0.02&lt;0.01,"***",IF(       0.02&lt;0.05,"**",IF(       0.02&lt;0.1,"*","NS")))</f>
        <v>**</v>
      </c>
      <c r="P126" s="296" t="s">
        <v>5051</v>
      </c>
      <c r="Q126" s="4">
        <v>16.326007351538969</v>
      </c>
      <c r="R126" s="4">
        <v>9.1445143714706916</v>
      </c>
      <c r="S126" s="4">
        <v>-7.1814929800682865</v>
      </c>
      <c r="T126" s="2405" t="str">
        <f>IF(       0.014&lt;0.01,"***",IF(       0.014&lt;0.05,"**",IF(       0.014&lt;0.1,"*","NS")))</f>
        <v>**</v>
      </c>
    </row>
    <row r="127" spans="1:20" x14ac:dyDescent="0.2">
      <c r="A127" s="296" t="s">
        <v>4966</v>
      </c>
      <c r="B127" s="4">
        <v>48.69371389588779</v>
      </c>
      <c r="C127" s="4">
        <v>42.528103856160449</v>
      </c>
      <c r="D127" s="4">
        <v>-6.1656100397273672</v>
      </c>
      <c r="E127" s="2406" t="str">
        <f>IF(       0.218&lt;0.01,"***",IF(       0.218&lt;0.05,"**",IF(       0.218&lt;0.1,"*","NS")))</f>
        <v>NS</v>
      </c>
      <c r="G127" s="296" t="s">
        <v>5006</v>
      </c>
      <c r="H127" s="4">
        <v>48.69371389588779</v>
      </c>
      <c r="I127" s="4">
        <v>40.842654135621842</v>
      </c>
      <c r="J127" s="4">
        <v>-7.8510597602659402</v>
      </c>
      <c r="K127" s="2407" t="str">
        <f>IF(       0.121&lt;0.01,"***",IF(       0.121&lt;0.05,"**",IF(       0.121&lt;0.1,"*","NS")))</f>
        <v>NS</v>
      </c>
      <c r="L127" s="4">
        <v>45.910186151265968</v>
      </c>
      <c r="M127" s="4">
        <v>-2.7835277446218289</v>
      </c>
      <c r="N127" s="2408" t="str">
        <f>IF(       0.704&lt;0.01,"***",IF(       0.704&lt;0.05,"**",IF(       0.704&lt;0.1,"*","NS")))</f>
        <v>NS</v>
      </c>
      <c r="P127" s="296" t="s">
        <v>5052</v>
      </c>
      <c r="Q127" s="4">
        <v>44.147744133094989</v>
      </c>
      <c r="R127" s="4">
        <v>45.910186151265968</v>
      </c>
      <c r="S127" s="4">
        <v>1.7624420181709748</v>
      </c>
      <c r="T127" s="2409" t="str">
        <f>IF(       0.787&lt;0.01,"***",IF(       0.787&lt;0.05,"**",IF(       0.787&lt;0.1,"*","NS")))</f>
        <v>NS</v>
      </c>
    </row>
    <row r="128" spans="1:20" x14ac:dyDescent="0.2">
      <c r="A128" s="296" t="s">
        <v>4967</v>
      </c>
      <c r="B128" s="4">
        <v>66.08768041880613</v>
      </c>
      <c r="C128" s="4">
        <v>47.575757492176763</v>
      </c>
      <c r="D128" s="4">
        <v>-18.511922926629371</v>
      </c>
      <c r="E128" s="2410" t="str">
        <f>IF(       0&lt;0.01,"***",IF(       0&lt;0.05,"**",IF(       0&lt;0.1,"*","NS")))</f>
        <v>***</v>
      </c>
      <c r="G128" s="296" t="s">
        <v>5007</v>
      </c>
      <c r="H128" s="4">
        <v>66.08768041880613</v>
      </c>
      <c r="I128" s="4">
        <v>52.403025167222211</v>
      </c>
      <c r="J128" s="4">
        <v>-13.684655251583907</v>
      </c>
      <c r="K128" s="2411" t="str">
        <f>IF(       0.006&lt;0.01,"***",IF(       0.006&lt;0.05,"**",IF(       0.006&lt;0.1,"*","NS")))</f>
        <v>***</v>
      </c>
      <c r="L128" s="4">
        <v>38.70338195643108</v>
      </c>
      <c r="M128" s="4">
        <v>-27.38429846237506</v>
      </c>
      <c r="N128" s="2412" t="str">
        <f>IF(       0&lt;0.01,"***",IF(       0&lt;0.05,"**",IF(       0&lt;0.1,"*","NS")))</f>
        <v>***</v>
      </c>
      <c r="P128" s="296" t="s">
        <v>5053</v>
      </c>
      <c r="Q128" s="4">
        <v>58.40141228679839</v>
      </c>
      <c r="R128" s="4">
        <v>38.70338195643108</v>
      </c>
      <c r="S128" s="4">
        <v>-19.698030330367374</v>
      </c>
      <c r="T128" s="2413" t="str">
        <f>IF(       0&lt;0.01,"***",IF(       0&lt;0.05,"**",IF(       0&lt;0.1,"*","NS")))</f>
        <v>***</v>
      </c>
    </row>
    <row r="129" spans="1:20" x14ac:dyDescent="0.2">
      <c r="A129" s="296" t="s">
        <v>4968</v>
      </c>
      <c r="B129" s="4">
        <v>32.488201973757953</v>
      </c>
      <c r="C129" s="4">
        <v>23.590785325379461</v>
      </c>
      <c r="D129" s="4">
        <v>-8.8974166483784654</v>
      </c>
      <c r="E129" s="2414" t="str">
        <f>IF(       0.044&lt;0.01,"***",IF(       0.044&lt;0.05,"**",IF(       0.044&lt;0.1,"*","NS")))</f>
        <v>**</v>
      </c>
      <c r="G129" s="296" t="s">
        <v>5008</v>
      </c>
      <c r="H129" s="4">
        <v>32.488201973757953</v>
      </c>
      <c r="I129" s="4">
        <v>26.0859981181232</v>
      </c>
      <c r="J129" s="4">
        <v>-6.4022038556347791</v>
      </c>
      <c r="K129" s="2415" t="str">
        <f>IF(       0.176&lt;0.01,"***",IF(       0.176&lt;0.05,"**",IF(       0.176&lt;0.1,"*","NS")))</f>
        <v>NS</v>
      </c>
      <c r="L129" s="4">
        <v>17.19790264192924</v>
      </c>
      <c r="M129" s="4">
        <v>-15.290299331828702</v>
      </c>
      <c r="N129" s="2416" t="str">
        <f>IF(       0.005&lt;0.01,"***",IF(       0.005&lt;0.05,"**",IF(       0.005&lt;0.1,"*","NS")))</f>
        <v>***</v>
      </c>
      <c r="P129" s="296" t="s">
        <v>5054</v>
      </c>
      <c r="Q129" s="4">
        <v>29.105521195516491</v>
      </c>
      <c r="R129" s="4">
        <v>17.19790264192924</v>
      </c>
      <c r="S129" s="4">
        <v>-11.907618553587248</v>
      </c>
      <c r="T129" s="2417" t="str">
        <f>IF(       0.01&lt;0.01,"***",IF(       0.01&lt;0.05,"**",IF(       0.01&lt;0.1,"*","NS")))</f>
        <v>**</v>
      </c>
    </row>
    <row r="130" spans="1:20" x14ac:dyDescent="0.2">
      <c r="A130" s="296" t="s">
        <v>4969</v>
      </c>
      <c r="B130" s="4">
        <v>27.545823924795851</v>
      </c>
      <c r="C130" s="4">
        <v>15.98937324742411</v>
      </c>
      <c r="D130" s="4">
        <v>-11.556450677371799</v>
      </c>
      <c r="E130" s="2418" t="str">
        <f>IF(       0.009&lt;0.01,"***",IF(       0.009&lt;0.05,"**",IF(       0.009&lt;0.1,"*","NS")))</f>
        <v>***</v>
      </c>
      <c r="G130" s="296" t="s">
        <v>5009</v>
      </c>
      <c r="H130" s="4">
        <v>27.545823924795851</v>
      </c>
      <c r="I130" s="4">
        <v>16.836958298511981</v>
      </c>
      <c r="J130" s="4">
        <v>-10.708865626283856</v>
      </c>
      <c r="K130" s="2419" t="str">
        <f>IF(       0.028&lt;0.01,"***",IF(       0.028&lt;0.05,"**",IF(       0.028&lt;0.1,"*","NS")))</f>
        <v>**</v>
      </c>
      <c r="L130" s="4">
        <v>14.96000692030503</v>
      </c>
      <c r="M130" s="4">
        <v>-12.585817004490847</v>
      </c>
      <c r="N130" s="2420" t="str">
        <f>IF(       0.002&lt;0.01,"***",IF(       0.002&lt;0.05,"**",IF(       0.002&lt;0.1,"*","NS")))</f>
        <v>***</v>
      </c>
      <c r="P130" s="296" t="s">
        <v>5055</v>
      </c>
      <c r="Q130" s="4">
        <v>20.701862470242862</v>
      </c>
      <c r="R130" s="4">
        <v>14.96000692030503</v>
      </c>
      <c r="S130" s="4">
        <v>-5.7418555499378332</v>
      </c>
      <c r="T130" s="2421" t="str">
        <f>IF(       0.007&lt;0.01,"***",IF(       0.007&lt;0.05,"**",IF(       0.007&lt;0.1,"*","NS")))</f>
        <v>***</v>
      </c>
    </row>
    <row r="131" spans="1:20" x14ac:dyDescent="0.2">
      <c r="A131" s="296" t="s">
        <v>4970</v>
      </c>
      <c r="B131" s="4">
        <v>16.078405403310569</v>
      </c>
      <c r="C131" s="4">
        <v>10.700900410730391</v>
      </c>
      <c r="D131" s="4">
        <v>-5.3775049925802039</v>
      </c>
      <c r="E131" s="2422" t="str">
        <f>IF(       0.224&lt;0.01,"***",IF(       0.224&lt;0.05,"**",IF(       0.224&lt;0.1,"*","NS")))</f>
        <v>NS</v>
      </c>
      <c r="G131" s="296" t="s">
        <v>5010</v>
      </c>
      <c r="H131" s="4">
        <v>16.078405403310569</v>
      </c>
      <c r="I131" s="4">
        <v>11.699674590300599</v>
      </c>
      <c r="J131" s="4">
        <v>-4.3787308130099678</v>
      </c>
      <c r="K131" s="2423" t="str">
        <f>IF(       0.364&lt;0.01,"***",IF(       0.364&lt;0.05,"**",IF(       0.364&lt;0.1,"*","NS")))</f>
        <v>NS</v>
      </c>
      <c r="L131" s="4">
        <v>8.7169502433719313</v>
      </c>
      <c r="M131" s="4">
        <v>-7.3614551599386244</v>
      </c>
      <c r="N131" s="2424" t="str">
        <f>IF(       0.099&lt;0.01,"***",IF(       0.099&lt;0.05,"**",IF(       0.099&lt;0.1,"*","NS")))</f>
        <v>*</v>
      </c>
      <c r="P131" s="296" t="s">
        <v>5056</v>
      </c>
      <c r="Q131" s="4">
        <v>13.748743578953951</v>
      </c>
      <c r="R131" s="4">
        <v>8.7169502433719313</v>
      </c>
      <c r="S131" s="4">
        <v>-5.0317933355820035</v>
      </c>
      <c r="T131" s="2425" t="str">
        <f>IF(       0.105&lt;0.01,"***",IF(       0.105&lt;0.05,"**",IF(       0.105&lt;0.1,"*","NS")))</f>
        <v>NS</v>
      </c>
    </row>
    <row r="132" spans="1:20" x14ac:dyDescent="0.2">
      <c r="A132" s="296" t="s">
        <v>5835</v>
      </c>
      <c r="B132" s="4">
        <v>34.864113341904407</v>
      </c>
      <c r="C132" s="4">
        <v>25.133694291202321</v>
      </c>
      <c r="D132" s="4">
        <v>-9.7304190507022312</v>
      </c>
      <c r="E132" s="2426" t="str">
        <f>IF(       0&lt;0.01,"***",IF(       0&lt;0.05,"**",IF(       0&lt;0.1,"*","NS")))</f>
        <v>***</v>
      </c>
      <c r="G132" s="296" t="s">
        <v>5835</v>
      </c>
      <c r="H132" s="4">
        <v>34.864113341904407</v>
      </c>
      <c r="I132" s="4">
        <v>26.968854792217851</v>
      </c>
      <c r="J132" s="4">
        <v>-7.8952585496865515</v>
      </c>
      <c r="K132" s="2427" t="str">
        <f>IF(       0&lt;0.01,"***",IF(       0&lt;0.05,"**",IF(       0&lt;0.1,"*","NS")))</f>
        <v>***</v>
      </c>
      <c r="L132" s="4">
        <v>21.62250704846014</v>
      </c>
      <c r="M132" s="4">
        <v>-13.241606293444294</v>
      </c>
      <c r="N132" s="2428" t="str">
        <f>IF(       0&lt;0.01,"***",IF(       0&lt;0.05,"**",IF(       0&lt;0.1,"*","NS")))</f>
        <v>***</v>
      </c>
      <c r="P132" s="296" t="s">
        <v>5835</v>
      </c>
      <c r="Q132" s="4">
        <v>30.380279788700779</v>
      </c>
      <c r="R132" s="4">
        <v>21.62250704846014</v>
      </c>
      <c r="S132" s="4">
        <v>-8.7577727402406556</v>
      </c>
      <c r="T132" s="2429" t="str">
        <f>IF(       0&lt;0.01,"***",IF(       0&lt;0.05,"**",IF(       0&lt;0.1,"*","NS")))</f>
        <v>***</v>
      </c>
    </row>
  </sheetData>
  <pageMargins left="0.7" right="0.7" top="0.75" bottom="0.75" header="0.3" footer="0.3"/>
  <tableParts count="21">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32"/>
  <sheetViews>
    <sheetView zoomScaleNormal="100" workbookViewId="0">
      <selection activeCell="D14" sqref="D14"/>
    </sheetView>
  </sheetViews>
  <sheetFormatPr baseColWidth="10" defaultColWidth="8.83203125" defaultRowHeight="15" x14ac:dyDescent="0.2"/>
  <cols>
    <col min="1" max="1" width="9.33203125" style="296" customWidth="1"/>
    <col min="2" max="5" width="15.83203125" style="4" customWidth="1"/>
    <col min="6" max="6" width="8.83203125" style="4"/>
    <col min="7" max="7" width="15.83203125" style="296" customWidth="1"/>
    <col min="8" max="14" width="15.83203125" style="4" customWidth="1"/>
    <col min="15" max="15" width="8.83203125" style="4"/>
    <col min="16" max="16" width="15.83203125" style="296" customWidth="1"/>
    <col min="17" max="20" width="15.83203125" style="4" customWidth="1"/>
    <col min="21" max="16384" width="8.83203125" style="4"/>
  </cols>
  <sheetData>
    <row r="1" spans="1:20" x14ac:dyDescent="0.2">
      <c r="A1" s="296" t="s">
        <v>2942</v>
      </c>
      <c r="G1" s="296" t="s">
        <v>3046</v>
      </c>
      <c r="P1" s="296" t="s">
        <v>3165</v>
      </c>
    </row>
    <row r="2" spans="1:20" s="3" customFormat="1" x14ac:dyDescent="0.2">
      <c r="A2" s="5496" t="s">
        <v>2943</v>
      </c>
      <c r="B2" s="5497" t="s">
        <v>2944</v>
      </c>
      <c r="C2" s="5498" t="s">
        <v>2945</v>
      </c>
      <c r="D2" s="5499" t="s">
        <v>2946</v>
      </c>
      <c r="E2" s="5500" t="s">
        <v>2947</v>
      </c>
      <c r="G2" s="5501" t="s">
        <v>3047</v>
      </c>
      <c r="H2" s="5502" t="s">
        <v>3048</v>
      </c>
      <c r="I2" s="5503" t="s">
        <v>3049</v>
      </c>
      <c r="J2" s="5504" t="s">
        <v>3050</v>
      </c>
      <c r="K2" s="5505" t="s">
        <v>3051</v>
      </c>
      <c r="L2" s="5506" t="s">
        <v>3150</v>
      </c>
      <c r="M2" s="5507" t="s">
        <v>3151</v>
      </c>
      <c r="N2" s="5508" t="s">
        <v>3152</v>
      </c>
      <c r="P2" s="5509" t="s">
        <v>3166</v>
      </c>
      <c r="Q2" s="5510" t="s">
        <v>3167</v>
      </c>
      <c r="R2" s="5511" t="s">
        <v>3168</v>
      </c>
      <c r="S2" s="5512" t="s">
        <v>3169</v>
      </c>
      <c r="T2" s="5513" t="s">
        <v>3170</v>
      </c>
    </row>
    <row r="3" spans="1:20" x14ac:dyDescent="0.2">
      <c r="A3" s="296" t="s">
        <v>2948</v>
      </c>
      <c r="B3" s="4">
        <v>19.907625543299901</v>
      </c>
      <c r="C3" s="4">
        <v>16.338086595328829</v>
      </c>
      <c r="D3" s="4">
        <v>-3.5695389479710946</v>
      </c>
      <c r="E3" s="1662" t="str">
        <f>IF(       0&lt;0.01,"***",IF(       0&lt;0.05,"**",IF(       0&lt;0.1,"*","NS")))</f>
        <v>***</v>
      </c>
      <c r="G3" s="296" t="s">
        <v>3052</v>
      </c>
      <c r="H3" s="4">
        <v>19.907625543299901</v>
      </c>
      <c r="I3" s="4">
        <v>16.803871271631522</v>
      </c>
      <c r="J3" s="4">
        <v>-3.1037542716683673</v>
      </c>
      <c r="K3" s="1663" t="str">
        <f>IF(       0.001&lt;0.01,"***",IF(       0.001&lt;0.05,"**",IF(       0.001&lt;0.1,"*","NS")))</f>
        <v>***</v>
      </c>
      <c r="L3" s="4">
        <v>14.521122244765371</v>
      </c>
      <c r="M3" s="4">
        <v>-5.3865032985345707</v>
      </c>
      <c r="N3" s="1664" t="str">
        <f>IF(       0&lt;0.01,"***",IF(       0&lt;0.05,"**",IF(       0&lt;0.1,"*","NS")))</f>
        <v>***</v>
      </c>
      <c r="P3" s="296" t="s">
        <v>3171</v>
      </c>
      <c r="Q3" s="4">
        <v>18.796351040692361</v>
      </c>
      <c r="R3" s="4">
        <v>14.521122244765371</v>
      </c>
      <c r="S3" s="4">
        <v>-4.2752287959269974</v>
      </c>
      <c r="T3" s="1665" t="str">
        <f>IF(       0&lt;0.01,"***",IF(       0&lt;0.05,"**",IF(       0&lt;0.1,"*","NS")))</f>
        <v>***</v>
      </c>
    </row>
    <row r="4" spans="1:20" x14ac:dyDescent="0.2">
      <c r="A4" s="296" t="s">
        <v>2949</v>
      </c>
      <c r="B4" s="4">
        <v>24.8942628865871</v>
      </c>
      <c r="C4" s="4">
        <v>21.96865766206674</v>
      </c>
      <c r="D4" s="4">
        <v>-2.9256052245203161</v>
      </c>
      <c r="E4" s="1666" t="str">
        <f>IF(       0&lt;0.01,"***",IF(       0&lt;0.05,"**",IF(       0&lt;0.1,"*","NS")))</f>
        <v>***</v>
      </c>
      <c r="G4" s="296" t="s">
        <v>3053</v>
      </c>
      <c r="H4" s="4">
        <v>24.8942628865871</v>
      </c>
      <c r="I4" s="4">
        <v>22.330641262303779</v>
      </c>
      <c r="J4" s="4">
        <v>-2.5636216242833227</v>
      </c>
      <c r="K4" s="1667" t="str">
        <f>IF(       0.001&lt;0.01,"***",IF(       0.001&lt;0.05,"**",IF(       0.001&lt;0.1,"*","NS")))</f>
        <v>***</v>
      </c>
      <c r="L4" s="4">
        <v>21.019782409324971</v>
      </c>
      <c r="M4" s="4">
        <v>-3.8744804772621371</v>
      </c>
      <c r="N4" s="1668" t="str">
        <f>IF(       0&lt;0.01,"***",IF(       0&lt;0.05,"**",IF(       0&lt;0.1,"*","NS")))</f>
        <v>***</v>
      </c>
      <c r="P4" s="296" t="s">
        <v>3172</v>
      </c>
      <c r="Q4" s="4">
        <v>24.156060943853412</v>
      </c>
      <c r="R4" s="4">
        <v>21.019782409324971</v>
      </c>
      <c r="S4" s="4">
        <v>-3.136278534528476</v>
      </c>
      <c r="T4" s="1669" t="str">
        <f>IF(       0.001&lt;0.01,"***",IF(       0.001&lt;0.05,"**",IF(       0.001&lt;0.1,"*","NS")))</f>
        <v>***</v>
      </c>
    </row>
    <row r="5" spans="1:20" x14ac:dyDescent="0.2">
      <c r="A5" s="296" t="s">
        <v>2950</v>
      </c>
      <c r="B5" s="4">
        <v>20.047701537324329</v>
      </c>
      <c r="C5" s="4">
        <v>14.985763766181551</v>
      </c>
      <c r="D5" s="4">
        <v>-5.0619377711427962</v>
      </c>
      <c r="E5" s="1670" t="str">
        <f>IF(       0&lt;0.01,"***",IF(       0&lt;0.05,"**",IF(       0&lt;0.1,"*","NS")))</f>
        <v>***</v>
      </c>
      <c r="G5" s="296" t="s">
        <v>3054</v>
      </c>
      <c r="H5" s="4">
        <v>20.047701537324329</v>
      </c>
      <c r="I5" s="4">
        <v>15.75948424962019</v>
      </c>
      <c r="J5" s="4">
        <v>-4.288217287704164</v>
      </c>
      <c r="K5" s="1671" t="str">
        <f>IF(       0&lt;0.01,"***",IF(       0&lt;0.05,"**",IF(       0&lt;0.1,"*","NS")))</f>
        <v>***</v>
      </c>
      <c r="L5" s="4">
        <v>12.654201173910661</v>
      </c>
      <c r="M5" s="4">
        <v>-7.3935003634136001</v>
      </c>
      <c r="N5" s="1672" t="str">
        <f>IF(       0.001&lt;0.01,"***",IF(       0.001&lt;0.05,"**",IF(       0.001&lt;0.1,"*","NS")))</f>
        <v>***</v>
      </c>
      <c r="P5" s="296" t="s">
        <v>3173</v>
      </c>
      <c r="Q5" s="4">
        <v>19.032301110641189</v>
      </c>
      <c r="R5" s="4">
        <v>12.654201173910661</v>
      </c>
      <c r="S5" s="4">
        <v>-6.3780999367305267</v>
      </c>
      <c r="T5" s="1673" t="str">
        <f>IF(       0.001&lt;0.01,"***",IF(       0.001&lt;0.05,"**",IF(       0.001&lt;0.1,"*","NS")))</f>
        <v>***</v>
      </c>
    </row>
    <row r="6" spans="1:20" x14ac:dyDescent="0.2">
      <c r="A6" s="296" t="s">
        <v>2951</v>
      </c>
      <c r="B6" s="4">
        <v>23.102774389055689</v>
      </c>
      <c r="C6" s="4">
        <v>20.27558377020399</v>
      </c>
      <c r="D6" s="4">
        <v>-2.8271906188516533</v>
      </c>
      <c r="E6" s="1674" t="str">
        <f>IF(       0.001&lt;0.01,"***",IF(       0.001&lt;0.05,"**",IF(       0.001&lt;0.1,"*","NS")))</f>
        <v>***</v>
      </c>
      <c r="G6" s="296" t="s">
        <v>3055</v>
      </c>
      <c r="H6" s="4">
        <v>23.102774389055689</v>
      </c>
      <c r="I6" s="4">
        <v>21.09261597811377</v>
      </c>
      <c r="J6" s="4">
        <v>-2.0101584109419242</v>
      </c>
      <c r="K6" s="1675" t="str">
        <f>IF(       0.016&lt;0.01,"***",IF(       0.016&lt;0.05,"**",IF(       0.016&lt;0.1,"*","NS")))</f>
        <v>**</v>
      </c>
      <c r="L6" s="4">
        <v>17.18316884418816</v>
      </c>
      <c r="M6" s="4">
        <v>-5.9196055448675926</v>
      </c>
      <c r="N6" s="1676" t="str">
        <f>IF(       0&lt;0.01,"***",IF(       0&lt;0.05,"**",IF(       0&lt;0.1,"*","NS")))</f>
        <v>***</v>
      </c>
      <c r="P6" s="296" t="s">
        <v>3174</v>
      </c>
      <c r="Q6" s="4">
        <v>22.51416283966671</v>
      </c>
      <c r="R6" s="4">
        <v>17.18316884418816</v>
      </c>
      <c r="S6" s="4">
        <v>-5.3309939954786065</v>
      </c>
      <c r="T6" s="1677" t="str">
        <f>IF(       0&lt;0.01,"***",IF(       0&lt;0.05,"**",IF(       0&lt;0.1,"*","NS")))</f>
        <v>***</v>
      </c>
    </row>
    <row r="7" spans="1:20" x14ac:dyDescent="0.2">
      <c r="A7" s="296" t="s">
        <v>2952</v>
      </c>
      <c r="B7" s="4">
        <v>23.69601743522011</v>
      </c>
      <c r="C7" s="4">
        <v>23.801146205358648</v>
      </c>
      <c r="D7" s="4">
        <v>0.10512877013855391</v>
      </c>
      <c r="E7" s="1678" t="str">
        <f>IF(       0.918&lt;0.01,"***",IF(       0.918&lt;0.05,"**",IF(       0.918&lt;0.1,"*","NS")))</f>
        <v>NS</v>
      </c>
      <c r="G7" s="296" t="s">
        <v>3056</v>
      </c>
      <c r="H7" s="4">
        <v>23.69601743522011</v>
      </c>
      <c r="I7" s="4">
        <v>24.123779925289622</v>
      </c>
      <c r="J7" s="4">
        <v>0.42776249006952161</v>
      </c>
      <c r="K7" s="1679" t="str">
        <f>IF(       0.648&lt;0.01,"***",IF(       0.648&lt;0.05,"**",IF(       0.648&lt;0.1,"*","NS")))</f>
        <v>NS</v>
      </c>
      <c r="L7" s="4">
        <v>22.2737145353763</v>
      </c>
      <c r="M7" s="4">
        <v>-1.422302899843803</v>
      </c>
      <c r="N7" s="1680" t="str">
        <f>IF(       0.536&lt;0.01,"***",IF(       0.536&lt;0.05,"**",IF(       0.536&lt;0.1,"*","NS")))</f>
        <v>NS</v>
      </c>
      <c r="P7" s="296" t="s">
        <v>3175</v>
      </c>
      <c r="Q7" s="4">
        <v>23.80902710996958</v>
      </c>
      <c r="R7" s="4">
        <v>22.2737145353763</v>
      </c>
      <c r="S7" s="4">
        <v>-1.5353125745933067</v>
      </c>
      <c r="T7" s="1681" t="str">
        <f>IF(       0.484&lt;0.01,"***",IF(       0.484&lt;0.05,"**",IF(       0.484&lt;0.1,"*","NS")))</f>
        <v>NS</v>
      </c>
    </row>
    <row r="8" spans="1:20" x14ac:dyDescent="0.2">
      <c r="A8" s="296" t="s">
        <v>2953</v>
      </c>
      <c r="B8" s="4">
        <v>25.4623909091797</v>
      </c>
      <c r="C8" s="4">
        <v>20.958920149511961</v>
      </c>
      <c r="D8" s="4">
        <v>-4.5034707596677261</v>
      </c>
      <c r="E8" s="1682" t="str">
        <f>IF(       0&lt;0.01,"***",IF(       0&lt;0.05,"**",IF(       0&lt;0.1,"*","NS")))</f>
        <v>***</v>
      </c>
      <c r="G8" s="296" t="s">
        <v>3057</v>
      </c>
      <c r="H8" s="4">
        <v>25.4623909091797</v>
      </c>
      <c r="I8" s="4">
        <v>22.08470046800165</v>
      </c>
      <c r="J8" s="4">
        <v>-3.3776904411781183</v>
      </c>
      <c r="K8" s="1683" t="str">
        <f>IF(       0&lt;0.01,"***",IF(       0&lt;0.05,"**",IF(       0&lt;0.1,"*","NS")))</f>
        <v>***</v>
      </c>
      <c r="L8" s="4">
        <v>17.423181335524891</v>
      </c>
      <c r="M8" s="4">
        <v>-8.0392095736549258</v>
      </c>
      <c r="N8" s="1684" t="str">
        <f>IF(       0&lt;0.01,"***",IF(       0&lt;0.05,"**",IF(       0&lt;0.1,"*","NS")))</f>
        <v>***</v>
      </c>
      <c r="P8" s="296" t="s">
        <v>3176</v>
      </c>
      <c r="Q8" s="4">
        <v>24.516442958660271</v>
      </c>
      <c r="R8" s="4">
        <v>17.423181335524891</v>
      </c>
      <c r="S8" s="4">
        <v>-7.0932616231352839</v>
      </c>
      <c r="T8" s="1685" t="str">
        <f>IF(       0&lt;0.01,"***",IF(       0&lt;0.05,"**",IF(       0&lt;0.1,"*","NS")))</f>
        <v>***</v>
      </c>
    </row>
    <row r="9" spans="1:20" x14ac:dyDescent="0.2">
      <c r="A9" s="296" t="s">
        <v>2954</v>
      </c>
      <c r="B9" s="4">
        <v>38.911454202224903</v>
      </c>
      <c r="C9" s="4">
        <v>37.908442481481259</v>
      </c>
      <c r="D9" s="4">
        <v>-1.0030117207436209</v>
      </c>
      <c r="E9" s="1686" t="str">
        <f>IF(       0.248&lt;0.01,"***",IF(       0.248&lt;0.05,"**",IF(       0.248&lt;0.1,"*","NS")))</f>
        <v>NS</v>
      </c>
      <c r="G9" s="296" t="s">
        <v>3058</v>
      </c>
      <c r="H9" s="4">
        <v>38.911454202224903</v>
      </c>
      <c r="I9" s="4">
        <v>37.948250955076134</v>
      </c>
      <c r="J9" s="4">
        <v>-0.96320324714874928</v>
      </c>
      <c r="K9" s="1687" t="str">
        <f>IF(       0.343&lt;0.01,"***",IF(       0.343&lt;0.05,"**",IF(       0.343&lt;0.1,"*","NS")))</f>
        <v>NS</v>
      </c>
      <c r="L9" s="4">
        <v>37.724040314297703</v>
      </c>
      <c r="M9" s="4">
        <v>-1.1874138879272094</v>
      </c>
      <c r="N9" s="1688" t="str">
        <f>IF(       0.438&lt;0.01,"***",IF(       0.438&lt;0.05,"**",IF(       0.438&lt;0.1,"*","NS")))</f>
        <v>NS</v>
      </c>
      <c r="P9" s="296" t="s">
        <v>3177</v>
      </c>
      <c r="Q9" s="4">
        <v>38.768636903909943</v>
      </c>
      <c r="R9" s="4">
        <v>37.724040314297703</v>
      </c>
      <c r="S9" s="4">
        <v>-1.0445965896122658</v>
      </c>
      <c r="T9" s="1689" t="str">
        <f>IF(       0.499&lt;0.01,"***",IF(       0.499&lt;0.05,"**",IF(       0.499&lt;0.1,"*","NS")))</f>
        <v>NS</v>
      </c>
    </row>
    <row r="10" spans="1:20" x14ac:dyDescent="0.2">
      <c r="A10" s="296" t="s">
        <v>2955</v>
      </c>
      <c r="B10" s="4">
        <v>9.0603497502067256</v>
      </c>
      <c r="C10" s="4">
        <v>6.5311284608472553</v>
      </c>
      <c r="D10" s="4">
        <v>-2.5292212893594588</v>
      </c>
      <c r="E10" s="1690" t="str">
        <f>IF(       0.008&lt;0.01,"***",IF(       0.008&lt;0.05,"**",IF(       0.008&lt;0.1,"*","NS")))</f>
        <v>***</v>
      </c>
      <c r="G10" s="296" t="s">
        <v>3059</v>
      </c>
      <c r="H10" s="4">
        <v>9.0603497502067256</v>
      </c>
      <c r="I10" s="4">
        <v>6.3273233023427391</v>
      </c>
      <c r="J10" s="4">
        <v>-2.7330264478640292</v>
      </c>
      <c r="K10" s="1691" t="str">
        <f>IF(       0.004&lt;0.01,"***",IF(       0.004&lt;0.05,"**",IF(       0.004&lt;0.1,"*","NS")))</f>
        <v>***</v>
      </c>
      <c r="L10" s="4">
        <v>7.1980080701495268</v>
      </c>
      <c r="M10" s="4">
        <v>-1.8623416800572159</v>
      </c>
      <c r="N10" s="1692" t="str">
        <f>IF(       0.151&lt;0.01,"***",IF(       0.151&lt;0.05,"**",IF(       0.151&lt;0.1,"*","NS")))</f>
        <v>NS</v>
      </c>
      <c r="P10" s="296" t="s">
        <v>3178</v>
      </c>
      <c r="Q10" s="4">
        <v>8.5544174708718828</v>
      </c>
      <c r="R10" s="4">
        <v>7.1980080701495268</v>
      </c>
      <c r="S10" s="4">
        <v>-1.356409400722381</v>
      </c>
      <c r="T10" s="1693" t="str">
        <f>IF(       0.262&lt;0.01,"***",IF(       0.262&lt;0.05,"**",IF(       0.262&lt;0.1,"*","NS")))</f>
        <v>NS</v>
      </c>
    </row>
    <row r="11" spans="1:20" x14ac:dyDescent="0.2">
      <c r="A11" s="296" t="s">
        <v>2956</v>
      </c>
      <c r="B11" s="4">
        <v>24.756343770679681</v>
      </c>
      <c r="C11" s="4">
        <v>20.998737442589899</v>
      </c>
      <c r="D11" s="4">
        <v>-3.7576063280897753</v>
      </c>
      <c r="E11" s="1694" t="str">
        <f t="shared" ref="E11:E18" si="0">IF(       0&lt;0.01,"***",IF(       0&lt;0.05,"**",IF(       0&lt;0.1,"*","NS")))</f>
        <v>***</v>
      </c>
      <c r="G11" s="296" t="s">
        <v>3060</v>
      </c>
      <c r="H11" s="4">
        <v>24.756343770679681</v>
      </c>
      <c r="I11" s="4">
        <v>21.90919539085829</v>
      </c>
      <c r="J11" s="4">
        <v>-2.8471483798214265</v>
      </c>
      <c r="K11" s="1695" t="str">
        <f>IF(       0.001&lt;0.01,"***",IF(       0.001&lt;0.05,"**",IF(       0.001&lt;0.1,"*","NS")))</f>
        <v>***</v>
      </c>
      <c r="L11" s="4">
        <v>19.544989519648141</v>
      </c>
      <c r="M11" s="4">
        <v>-5.2113542510314987</v>
      </c>
      <c r="N11" s="1696" t="str">
        <f>IF(       0&lt;0.01,"***",IF(       0&lt;0.05,"**",IF(       0&lt;0.1,"*","NS")))</f>
        <v>***</v>
      </c>
      <c r="P11" s="296" t="s">
        <v>3179</v>
      </c>
      <c r="Q11" s="4">
        <v>23.788840835859489</v>
      </c>
      <c r="R11" s="4">
        <v>19.544989519648141</v>
      </c>
      <c r="S11" s="4">
        <v>-4.2438513162113436</v>
      </c>
      <c r="T11" s="1697" t="str">
        <f>IF(       0&lt;0.01,"***",IF(       0&lt;0.05,"**",IF(       0&lt;0.1,"*","NS")))</f>
        <v>***</v>
      </c>
    </row>
    <row r="12" spans="1:20" x14ac:dyDescent="0.2">
      <c r="A12" s="296" t="s">
        <v>2957</v>
      </c>
      <c r="B12" s="4">
        <v>24.26526944090805</v>
      </c>
      <c r="C12" s="4">
        <v>20.56046167861567</v>
      </c>
      <c r="D12" s="4">
        <v>-3.7048077622924001</v>
      </c>
      <c r="E12" s="1698" t="str">
        <f t="shared" si="0"/>
        <v>***</v>
      </c>
      <c r="G12" s="296" t="s">
        <v>3061</v>
      </c>
      <c r="H12" s="4">
        <v>24.26526944090805</v>
      </c>
      <c r="I12" s="4">
        <v>21.592601717994139</v>
      </c>
      <c r="J12" s="4">
        <v>-2.6726677229139173</v>
      </c>
      <c r="K12" s="1699" t="str">
        <f>IF(       0&lt;0.01,"***",IF(       0&lt;0.05,"**",IF(       0&lt;0.1,"*","NS")))</f>
        <v>***</v>
      </c>
      <c r="L12" s="4">
        <v>17.205976553837079</v>
      </c>
      <c r="M12" s="4">
        <v>-7.0592928870710132</v>
      </c>
      <c r="N12" s="1700" t="str">
        <f>IF(       0&lt;0.01,"***",IF(       0&lt;0.05,"**",IF(       0&lt;0.1,"*","NS")))</f>
        <v>***</v>
      </c>
      <c r="P12" s="296" t="s">
        <v>3180</v>
      </c>
      <c r="Q12" s="4">
        <v>23.233763630317569</v>
      </c>
      <c r="R12" s="4">
        <v>17.205976553837079</v>
      </c>
      <c r="S12" s="4">
        <v>-6.0277870764805641</v>
      </c>
      <c r="T12" s="1701" t="str">
        <f>IF(       0&lt;0.01,"***",IF(       0&lt;0.05,"**",IF(       0&lt;0.1,"*","NS")))</f>
        <v>***</v>
      </c>
    </row>
    <row r="13" spans="1:20" x14ac:dyDescent="0.2">
      <c r="A13" s="296" t="s">
        <v>2958</v>
      </c>
      <c r="B13" s="4">
        <v>30.443505115022671</v>
      </c>
      <c r="C13" s="4">
        <v>24.847185070847608</v>
      </c>
      <c r="D13" s="4">
        <v>-5.5963200441750383</v>
      </c>
      <c r="E13" s="1702" t="str">
        <f t="shared" si="0"/>
        <v>***</v>
      </c>
      <c r="G13" s="296" t="s">
        <v>3062</v>
      </c>
      <c r="H13" s="4">
        <v>30.443505115022671</v>
      </c>
      <c r="I13" s="4">
        <v>25.675537810504071</v>
      </c>
      <c r="J13" s="4">
        <v>-4.7679673045185007</v>
      </c>
      <c r="K13" s="1703" t="str">
        <f>IF(       0&lt;0.01,"***",IF(       0&lt;0.05,"**",IF(       0&lt;0.1,"*","NS")))</f>
        <v>***</v>
      </c>
      <c r="L13" s="4">
        <v>22.608321458768781</v>
      </c>
      <c r="M13" s="4">
        <v>-7.8351836562539123</v>
      </c>
      <c r="N13" s="1704" t="str">
        <f>IF(       0&lt;0.01,"***",IF(       0&lt;0.05,"**",IF(       0&lt;0.1,"*","NS")))</f>
        <v>***</v>
      </c>
      <c r="P13" s="296" t="s">
        <v>3181</v>
      </c>
      <c r="Q13" s="4">
        <v>29.302637472086762</v>
      </c>
      <c r="R13" s="4">
        <v>22.608321458768781</v>
      </c>
      <c r="S13" s="4">
        <v>-6.6943160133179322</v>
      </c>
      <c r="T13" s="1705" t="str">
        <f>IF(       0&lt;0.01,"***",IF(       0&lt;0.05,"**",IF(       0&lt;0.1,"*","NS")))</f>
        <v>***</v>
      </c>
    </row>
    <row r="14" spans="1:20" x14ac:dyDescent="0.2">
      <c r="A14" s="296" t="s">
        <v>2959</v>
      </c>
      <c r="B14" s="4">
        <v>35.031929831409848</v>
      </c>
      <c r="C14" s="4">
        <v>27.807674486986691</v>
      </c>
      <c r="D14" s="4">
        <v>-7.2242553444233835</v>
      </c>
      <c r="E14" s="1706" t="str">
        <f t="shared" si="0"/>
        <v>***</v>
      </c>
      <c r="G14" s="296" t="s">
        <v>3063</v>
      </c>
      <c r="H14" s="4">
        <v>35.031929831409848</v>
      </c>
      <c r="I14" s="4">
        <v>29.21937640808261</v>
      </c>
      <c r="J14" s="4">
        <v>-5.8125534233270573</v>
      </c>
      <c r="K14" s="1707" t="str">
        <f>IF(       0&lt;0.01,"***",IF(       0&lt;0.05,"**",IF(       0&lt;0.1,"*","NS")))</f>
        <v>***</v>
      </c>
      <c r="L14" s="4">
        <v>23.648711863873711</v>
      </c>
      <c r="M14" s="4">
        <v>-11.383217967536266</v>
      </c>
      <c r="N14" s="1708" t="str">
        <f>IF(       0&lt;0.01,"***",IF(       0&lt;0.05,"**",IF(       0&lt;0.1,"*","NS")))</f>
        <v>***</v>
      </c>
      <c r="P14" s="296" t="s">
        <v>3182</v>
      </c>
      <c r="Q14" s="4">
        <v>33.770539150861183</v>
      </c>
      <c r="R14" s="4">
        <v>23.648711863873711</v>
      </c>
      <c r="S14" s="4">
        <v>-10.121827286987504</v>
      </c>
      <c r="T14" s="1709" t="str">
        <f>IF(       0&lt;0.01,"***",IF(       0&lt;0.05,"**",IF(       0&lt;0.1,"*","NS")))</f>
        <v>***</v>
      </c>
    </row>
    <row r="15" spans="1:20" x14ac:dyDescent="0.2">
      <c r="A15" s="296" t="s">
        <v>2960</v>
      </c>
      <c r="B15" s="4">
        <v>25.522781443846579</v>
      </c>
      <c r="C15" s="4">
        <v>22.252730160262249</v>
      </c>
      <c r="D15" s="4">
        <v>-3.2700512835842637</v>
      </c>
      <c r="E15" s="1710" t="str">
        <f t="shared" si="0"/>
        <v>***</v>
      </c>
      <c r="G15" s="296" t="s">
        <v>3064</v>
      </c>
      <c r="H15" s="4">
        <v>25.522781443846579</v>
      </c>
      <c r="I15" s="4">
        <v>22.462545103717879</v>
      </c>
      <c r="J15" s="4">
        <v>-3.0602363401287382</v>
      </c>
      <c r="K15" s="1711" t="str">
        <f>IF(       0&lt;0.01,"***",IF(       0&lt;0.05,"**",IF(       0&lt;0.1,"*","NS")))</f>
        <v>***</v>
      </c>
      <c r="L15" s="4">
        <v>21.609544084512741</v>
      </c>
      <c r="M15" s="4">
        <v>-3.9132373593338414</v>
      </c>
      <c r="N15" s="1712" t="str">
        <f>IF(       0.019&lt;0.01,"***",IF(       0.019&lt;0.05,"**",IF(       0.019&lt;0.1,"*","NS")))</f>
        <v>**</v>
      </c>
      <c r="P15" s="296" t="s">
        <v>3183</v>
      </c>
      <c r="Q15" s="4">
        <v>24.83426235085965</v>
      </c>
      <c r="R15" s="4">
        <v>21.609544084512741</v>
      </c>
      <c r="S15" s="4">
        <v>-3.2247182663468896</v>
      </c>
      <c r="T15" s="1713" t="str">
        <f>IF(       0.039&lt;0.01,"***",IF(       0.039&lt;0.05,"**",IF(       0.039&lt;0.1,"*","NS")))</f>
        <v>**</v>
      </c>
    </row>
    <row r="16" spans="1:20" x14ac:dyDescent="0.2">
      <c r="A16" s="296" t="s">
        <v>2961</v>
      </c>
      <c r="B16" s="4">
        <v>25.336153332236311</v>
      </c>
      <c r="C16" s="4">
        <v>22.146045750825241</v>
      </c>
      <c r="D16" s="4">
        <v>-3.1901075814110187</v>
      </c>
      <c r="E16" s="1714" t="str">
        <f t="shared" si="0"/>
        <v>***</v>
      </c>
      <c r="G16" s="296" t="s">
        <v>3065</v>
      </c>
      <c r="H16" s="4">
        <v>25.336153332236311</v>
      </c>
      <c r="I16" s="4">
        <v>22.659110013823369</v>
      </c>
      <c r="J16" s="4">
        <v>-2.6770433184129772</v>
      </c>
      <c r="K16" s="1715" t="str">
        <f>IF(       0.005&lt;0.01,"***",IF(       0.005&lt;0.05,"**",IF(       0.005&lt;0.1,"*","NS")))</f>
        <v>***</v>
      </c>
      <c r="L16" s="4">
        <v>21.010334701715411</v>
      </c>
      <c r="M16" s="4">
        <v>-4.3258186305208941</v>
      </c>
      <c r="N16" s="1716" t="str">
        <f>IF(       0&lt;0.01,"***",IF(       0&lt;0.05,"**",IF(       0&lt;0.1,"*","NS")))</f>
        <v>***</v>
      </c>
      <c r="P16" s="296" t="s">
        <v>3184</v>
      </c>
      <c r="Q16" s="4">
        <v>24.452926685222611</v>
      </c>
      <c r="R16" s="4">
        <v>21.010334701715411</v>
      </c>
      <c r="S16" s="4">
        <v>-3.4425919835072061</v>
      </c>
      <c r="T16" s="1717" t="str">
        <f>IF(       0&lt;0.01,"***",IF(       0&lt;0.05,"**",IF(       0&lt;0.1,"*","NS")))</f>
        <v>***</v>
      </c>
    </row>
    <row r="17" spans="1:20" x14ac:dyDescent="0.2">
      <c r="A17" s="296" t="s">
        <v>2962</v>
      </c>
      <c r="B17" s="4">
        <v>21.275253544279501</v>
      </c>
      <c r="C17" s="4">
        <v>16.738193711367408</v>
      </c>
      <c r="D17" s="4">
        <v>-4.5370598329121137</v>
      </c>
      <c r="E17" s="1718" t="str">
        <f t="shared" si="0"/>
        <v>***</v>
      </c>
      <c r="G17" s="296" t="s">
        <v>3066</v>
      </c>
      <c r="H17" s="4">
        <v>21.275253544279501</v>
      </c>
      <c r="I17" s="4">
        <v>17.09476911099248</v>
      </c>
      <c r="J17" s="4">
        <v>-4.180484433287031</v>
      </c>
      <c r="K17" s="1719" t="str">
        <f>IF(       0&lt;0.01,"***",IF(       0&lt;0.05,"**",IF(       0&lt;0.1,"*","NS")))</f>
        <v>***</v>
      </c>
      <c r="L17" s="4">
        <v>15.609885707964761</v>
      </c>
      <c r="M17" s="4">
        <v>-5.6653678363146103</v>
      </c>
      <c r="N17" s="1720" t="str">
        <f>IF(       0&lt;0.01,"***",IF(       0&lt;0.05,"**",IF(       0&lt;0.1,"*","NS")))</f>
        <v>***</v>
      </c>
      <c r="P17" s="296" t="s">
        <v>3185</v>
      </c>
      <c r="Q17" s="4">
        <v>20.188573251155969</v>
      </c>
      <c r="R17" s="4">
        <v>15.609885707964761</v>
      </c>
      <c r="S17" s="4">
        <v>-4.5786875431912009</v>
      </c>
      <c r="T17" s="1721" t="str">
        <f>IF(       0&lt;0.01,"***",IF(       0&lt;0.05,"**",IF(       0&lt;0.1,"*","NS")))</f>
        <v>***</v>
      </c>
    </row>
    <row r="18" spans="1:20" x14ac:dyDescent="0.2">
      <c r="A18" s="296" t="s">
        <v>5835</v>
      </c>
      <c r="B18" s="4">
        <v>26.580173205581879</v>
      </c>
      <c r="C18" s="4">
        <v>21.799794614475729</v>
      </c>
      <c r="D18" s="4">
        <v>-4.7803785911058796</v>
      </c>
      <c r="E18" s="1722" t="str">
        <f t="shared" si="0"/>
        <v>***</v>
      </c>
      <c r="G18" s="296" t="s">
        <v>5835</v>
      </c>
      <c r="H18" s="4">
        <v>26.580173205581879</v>
      </c>
      <c r="I18" s="4">
        <v>22.52260079585465</v>
      </c>
      <c r="J18" s="4">
        <v>-4.0575724097272357</v>
      </c>
      <c r="K18" s="1723" t="str">
        <f>IF(       0&lt;0.01,"***",IF(       0&lt;0.05,"**",IF(       0&lt;0.1,"*","NS")))</f>
        <v>***</v>
      </c>
      <c r="L18" s="4">
        <v>19.67564803246254</v>
      </c>
      <c r="M18" s="4">
        <v>-6.9045251731191746</v>
      </c>
      <c r="N18" s="1724" t="str">
        <f>IF(       0&lt;0.01,"***",IF(       0&lt;0.05,"**",IF(       0&lt;0.1,"*","NS")))</f>
        <v>***</v>
      </c>
      <c r="P18" s="296" t="s">
        <v>5835</v>
      </c>
      <c r="Q18" s="4">
        <v>25.49632729747433</v>
      </c>
      <c r="R18" s="4">
        <v>19.67564803246254</v>
      </c>
      <c r="S18" s="4">
        <v>-5.8206792650119059</v>
      </c>
      <c r="T18" s="1725" t="str">
        <f>IF(       0&lt;0.01,"***",IF(       0&lt;0.05,"**",IF(       0&lt;0.1,"*","NS")))</f>
        <v>***</v>
      </c>
    </row>
    <row r="20" spans="1:20" x14ac:dyDescent="0.2">
      <c r="A20" s="296" t="s">
        <v>2963</v>
      </c>
      <c r="G20" s="296" t="s">
        <v>3067</v>
      </c>
      <c r="P20" s="296" t="s">
        <v>3186</v>
      </c>
    </row>
    <row r="21" spans="1:20" s="3" customFormat="1" x14ac:dyDescent="0.2">
      <c r="A21" s="5514" t="s">
        <v>2964</v>
      </c>
      <c r="B21" s="5515" t="s">
        <v>2965</v>
      </c>
      <c r="C21" s="5516" t="s">
        <v>2966</v>
      </c>
      <c r="D21" s="5517" t="s">
        <v>2967</v>
      </c>
      <c r="E21" s="5518" t="s">
        <v>2968</v>
      </c>
      <c r="G21" s="5519" t="s">
        <v>3068</v>
      </c>
      <c r="H21" s="5520" t="s">
        <v>3069</v>
      </c>
      <c r="I21" s="5521" t="s">
        <v>3070</v>
      </c>
      <c r="J21" s="5522" t="s">
        <v>3071</v>
      </c>
      <c r="K21" s="5523" t="s">
        <v>3072</v>
      </c>
      <c r="L21" s="5524" t="s">
        <v>3153</v>
      </c>
      <c r="M21" s="5525" t="s">
        <v>3154</v>
      </c>
      <c r="N21" s="5526" t="s">
        <v>3155</v>
      </c>
      <c r="P21" s="5527" t="s">
        <v>3187</v>
      </c>
      <c r="Q21" s="5528" t="s">
        <v>3188</v>
      </c>
      <c r="R21" s="5529" t="s">
        <v>3189</v>
      </c>
      <c r="S21" s="5530" t="s">
        <v>3190</v>
      </c>
      <c r="T21" s="5531" t="s">
        <v>3191</v>
      </c>
    </row>
    <row r="22" spans="1:20" x14ac:dyDescent="0.2">
      <c r="A22" s="296" t="s">
        <v>2969</v>
      </c>
      <c r="B22" s="4">
        <v>19.269956781475209</v>
      </c>
      <c r="C22" s="4">
        <v>14.601204360066349</v>
      </c>
      <c r="D22" s="4">
        <v>-4.6687524214088425</v>
      </c>
      <c r="E22" s="1726" t="str">
        <f>IF(       0&lt;0.01,"***",IF(       0&lt;0.05,"**",IF(       0&lt;0.1,"*","NS")))</f>
        <v>***</v>
      </c>
      <c r="G22" s="296" t="s">
        <v>3073</v>
      </c>
      <c r="H22" s="4">
        <v>19.269956781475209</v>
      </c>
      <c r="I22" s="4">
        <v>14.950927404913619</v>
      </c>
      <c r="J22" s="4">
        <v>-4.3190293765615504</v>
      </c>
      <c r="K22" s="1727" t="str">
        <f>IF(       0&lt;0.01,"***",IF(       0&lt;0.05,"**",IF(       0&lt;0.1,"*","NS")))</f>
        <v>***</v>
      </c>
      <c r="L22" s="4">
        <v>13.397853069693999</v>
      </c>
      <c r="M22" s="4">
        <v>-5.8721037117812385</v>
      </c>
      <c r="N22" s="1728" t="str">
        <f>IF(       0.002&lt;0.01,"***",IF(       0.002&lt;0.05,"**",IF(       0.002&lt;0.1,"*","NS")))</f>
        <v>***</v>
      </c>
      <c r="P22" s="296" t="s">
        <v>3192</v>
      </c>
      <c r="Q22" s="4">
        <v>17.646840353749202</v>
      </c>
      <c r="R22" s="4">
        <v>13.397853069693999</v>
      </c>
      <c r="S22" s="4">
        <v>-4.2489872840551826</v>
      </c>
      <c r="T22" s="1729" t="str">
        <f>IF(       0.011&lt;0.01,"***",IF(       0.011&lt;0.05,"**",IF(       0.011&lt;0.1,"*","NS")))</f>
        <v>**</v>
      </c>
    </row>
    <row r="23" spans="1:20" x14ac:dyDescent="0.2">
      <c r="A23" s="296" t="s">
        <v>2970</v>
      </c>
      <c r="B23" s="4">
        <v>24.101232287755689</v>
      </c>
      <c r="C23" s="4">
        <v>21.0024406766513</v>
      </c>
      <c r="D23" s="4">
        <v>-3.0987916111043847</v>
      </c>
      <c r="E23" s="1730" t="str">
        <f>IF(       0&lt;0.01,"***",IF(       0&lt;0.05,"**",IF(       0&lt;0.1,"*","NS")))</f>
        <v>***</v>
      </c>
      <c r="G23" s="296" t="s">
        <v>3074</v>
      </c>
      <c r="H23" s="4">
        <v>24.101232287755689</v>
      </c>
      <c r="I23" s="4">
        <v>21.334554711907131</v>
      </c>
      <c r="J23" s="4">
        <v>-2.7666775758485431</v>
      </c>
      <c r="K23" s="1731" t="str">
        <f>IF(       0.002&lt;0.01,"***",IF(       0.002&lt;0.05,"**",IF(       0.002&lt;0.1,"*","NS")))</f>
        <v>***</v>
      </c>
      <c r="L23" s="4">
        <v>20.147409694553151</v>
      </c>
      <c r="M23" s="4">
        <v>-3.9538225932025193</v>
      </c>
      <c r="N23" s="1732" t="str">
        <f>IF(       0&lt;0.01,"***",IF(       0&lt;0.05,"**",IF(       0&lt;0.1,"*","NS")))</f>
        <v>***</v>
      </c>
      <c r="P23" s="296" t="s">
        <v>3193</v>
      </c>
      <c r="Q23" s="4">
        <v>23.182528035226589</v>
      </c>
      <c r="R23" s="4">
        <v>20.147409694553151</v>
      </c>
      <c r="S23" s="4">
        <v>-3.0351183406734648</v>
      </c>
      <c r="T23" s="1733" t="str">
        <f>IF(       0.003&lt;0.01,"***",IF(       0.003&lt;0.05,"**",IF(       0.003&lt;0.1,"*","NS")))</f>
        <v>***</v>
      </c>
    </row>
    <row r="24" spans="1:20" x14ac:dyDescent="0.2">
      <c r="A24" s="296" t="s">
        <v>2971</v>
      </c>
      <c r="B24" s="4">
        <v>20.126943077244739</v>
      </c>
      <c r="C24" s="4">
        <v>14.568430170143291</v>
      </c>
      <c r="D24" s="4">
        <v>-5.5585129071014716</v>
      </c>
      <c r="E24" s="1734" t="str">
        <f>IF(       0&lt;0.01,"***",IF(       0&lt;0.05,"**",IF(       0&lt;0.1,"*","NS")))</f>
        <v>***</v>
      </c>
      <c r="G24" s="296" t="s">
        <v>3075</v>
      </c>
      <c r="H24" s="4">
        <v>20.126943077244739</v>
      </c>
      <c r="I24" s="4">
        <v>15.65829258574537</v>
      </c>
      <c r="J24" s="4">
        <v>-4.4686504914993801</v>
      </c>
      <c r="K24" s="1735" t="str">
        <f>IF(       0&lt;0.01,"***",IF(       0&lt;0.05,"**",IF(       0&lt;0.1,"*","NS")))</f>
        <v>***</v>
      </c>
      <c r="L24" s="4">
        <v>11.65513553808311</v>
      </c>
      <c r="M24" s="4">
        <v>-8.4718075391616701</v>
      </c>
      <c r="N24" s="1736" t="str">
        <f>IF(       0&lt;0.01,"***",IF(       0&lt;0.05,"**",IF(       0&lt;0.1,"*","NS")))</f>
        <v>***</v>
      </c>
      <c r="P24" s="296" t="s">
        <v>3194</v>
      </c>
      <c r="Q24" s="4">
        <v>19.0707680300854</v>
      </c>
      <c r="R24" s="4">
        <v>11.65513553808311</v>
      </c>
      <c r="S24" s="4">
        <v>-7.4156324920022731</v>
      </c>
      <c r="T24" s="1737" t="str">
        <f>IF(       0.001&lt;0.01,"***",IF(       0.001&lt;0.05,"**",IF(       0.001&lt;0.1,"*","NS")))</f>
        <v>***</v>
      </c>
    </row>
    <row r="25" spans="1:20" x14ac:dyDescent="0.2">
      <c r="A25" s="296" t="s">
        <v>2972</v>
      </c>
      <c r="B25" s="4">
        <v>22.147095064795781</v>
      </c>
      <c r="C25" s="4">
        <v>19.900099288848111</v>
      </c>
      <c r="D25" s="4">
        <v>-2.2469957759476689</v>
      </c>
      <c r="E25" s="1738" t="str">
        <f>IF(       0.009&lt;0.01,"***",IF(       0.009&lt;0.05,"**",IF(       0.009&lt;0.1,"*","NS")))</f>
        <v>***</v>
      </c>
      <c r="G25" s="296" t="s">
        <v>3076</v>
      </c>
      <c r="H25" s="4">
        <v>22.147095064795781</v>
      </c>
      <c r="I25" s="4">
        <v>20.95980410977554</v>
      </c>
      <c r="J25" s="4">
        <v>-1.1872909550202269</v>
      </c>
      <c r="K25" s="1739" t="str">
        <f>IF(       0.112&lt;0.01,"***",IF(       0.112&lt;0.05,"**",IF(       0.112&lt;0.1,"*","NS")))</f>
        <v>NS</v>
      </c>
      <c r="L25" s="4">
        <v>16.173717142743989</v>
      </c>
      <c r="M25" s="4">
        <v>-5.9733779220517951</v>
      </c>
      <c r="N25" s="1740" t="str">
        <f>IF(       0.001&lt;0.01,"***",IF(       0.001&lt;0.05,"**",IF(       0.001&lt;0.1,"*","NS")))</f>
        <v>***</v>
      </c>
      <c r="P25" s="296" t="s">
        <v>3195</v>
      </c>
      <c r="Q25" s="4">
        <v>21.785322039796331</v>
      </c>
      <c r="R25" s="4">
        <v>16.173717142743989</v>
      </c>
      <c r="S25" s="4">
        <v>-5.6116048970523265</v>
      </c>
      <c r="T25" s="1741" t="str">
        <f>IF(       0.001&lt;0.01,"***",IF(       0.001&lt;0.05,"**",IF(       0.001&lt;0.1,"*","NS")))</f>
        <v>***</v>
      </c>
    </row>
    <row r="26" spans="1:20" x14ac:dyDescent="0.2">
      <c r="A26" s="296" t="s">
        <v>2973</v>
      </c>
      <c r="B26" s="4">
        <v>22.460565342925591</v>
      </c>
      <c r="C26" s="4">
        <v>23.416789019729901</v>
      </c>
      <c r="D26" s="4">
        <v>0.95622367680430753</v>
      </c>
      <c r="E26" s="1742" t="str">
        <f>IF(       0.447&lt;0.01,"***",IF(       0.447&lt;0.05,"**",IF(       0.447&lt;0.1,"*","NS")))</f>
        <v>NS</v>
      </c>
      <c r="G26" s="296" t="s">
        <v>3077</v>
      </c>
      <c r="H26" s="4">
        <v>22.460565342925591</v>
      </c>
      <c r="I26" s="4">
        <v>23.970237779212422</v>
      </c>
      <c r="J26" s="4">
        <v>1.5096724362868508</v>
      </c>
      <c r="K26" s="1743" t="str">
        <f>IF(       0.222&lt;0.01,"***",IF(       0.222&lt;0.05,"**",IF(       0.222&lt;0.1,"*","NS")))</f>
        <v>NS</v>
      </c>
      <c r="L26" s="4">
        <v>20.96858590815711</v>
      </c>
      <c r="M26" s="4">
        <v>-1.4919794347684776</v>
      </c>
      <c r="N26" s="1744" t="str">
        <f>IF(       0.522&lt;0.01,"***",IF(       0.522&lt;0.05,"**",IF(       0.522&lt;0.1,"*","NS")))</f>
        <v>NS</v>
      </c>
      <c r="P26" s="296" t="s">
        <v>3196</v>
      </c>
      <c r="Q26" s="4">
        <v>22.86442461635124</v>
      </c>
      <c r="R26" s="4">
        <v>20.96858590815711</v>
      </c>
      <c r="S26" s="4">
        <v>-1.8958387081941106</v>
      </c>
      <c r="T26" s="1745" t="str">
        <f>IF(       0.395&lt;0.01,"***",IF(       0.395&lt;0.05,"**",IF(       0.395&lt;0.1,"*","NS")))</f>
        <v>NS</v>
      </c>
    </row>
    <row r="27" spans="1:20" x14ac:dyDescent="0.2">
      <c r="A27" s="296" t="s">
        <v>2974</v>
      </c>
      <c r="B27" s="4">
        <v>25.020792168647841</v>
      </c>
      <c r="C27" s="4">
        <v>20.22061136836496</v>
      </c>
      <c r="D27" s="4">
        <v>-4.8001808002829032</v>
      </c>
      <c r="E27" s="1746" t="str">
        <f>IF(       0&lt;0.01,"***",IF(       0&lt;0.05,"**",IF(       0&lt;0.1,"*","NS")))</f>
        <v>***</v>
      </c>
      <c r="G27" s="296" t="s">
        <v>3078</v>
      </c>
      <c r="H27" s="4">
        <v>25.020792168647841</v>
      </c>
      <c r="I27" s="4">
        <v>21.471115891203269</v>
      </c>
      <c r="J27" s="4">
        <v>-3.5496762774445787</v>
      </c>
      <c r="K27" s="1747" t="str">
        <f>IF(       0.001&lt;0.01,"***",IF(       0.001&lt;0.05,"**",IF(       0.001&lt;0.1,"*","NS")))</f>
        <v>***</v>
      </c>
      <c r="L27" s="4">
        <v>16.59132110402977</v>
      </c>
      <c r="M27" s="4">
        <v>-8.429471064618081</v>
      </c>
      <c r="N27" s="1748" t="str">
        <f>IF(       0&lt;0.01,"***",IF(       0&lt;0.05,"**",IF(       0&lt;0.1,"*","NS")))</f>
        <v>***</v>
      </c>
      <c r="P27" s="296" t="s">
        <v>3197</v>
      </c>
      <c r="Q27" s="4">
        <v>23.991439519461881</v>
      </c>
      <c r="R27" s="4">
        <v>16.59132110402977</v>
      </c>
      <c r="S27" s="4">
        <v>-7.4001184154320745</v>
      </c>
      <c r="T27" s="1749" t="str">
        <f>IF(       0&lt;0.01,"***",IF(       0&lt;0.05,"**",IF(       0&lt;0.1,"*","NS")))</f>
        <v>***</v>
      </c>
    </row>
    <row r="28" spans="1:20" x14ac:dyDescent="0.2">
      <c r="A28" s="296" t="s">
        <v>2975</v>
      </c>
      <c r="B28" s="4">
        <v>39.908895635772552</v>
      </c>
      <c r="C28" s="4">
        <v>37.755094848369112</v>
      </c>
      <c r="D28" s="4">
        <v>-2.1538007874034619</v>
      </c>
      <c r="E28" s="1750" t="str">
        <f>IF(       0.057&lt;0.01,"***",IF(       0.057&lt;0.05,"**",IF(       0.057&lt;0.1,"*","NS")))</f>
        <v>*</v>
      </c>
      <c r="G28" s="296" t="s">
        <v>3079</v>
      </c>
      <c r="H28" s="4">
        <v>39.908895635772552</v>
      </c>
      <c r="I28" s="4">
        <v>37.93726648934549</v>
      </c>
      <c r="J28" s="4">
        <v>-1.9716291464270528</v>
      </c>
      <c r="K28" s="1751" t="str">
        <f>IF(       0.119&lt;0.01,"***",IF(       0.119&lt;0.05,"**",IF(       0.119&lt;0.1,"*","NS")))</f>
        <v>NS</v>
      </c>
      <c r="L28" s="4">
        <v>36.974548098990176</v>
      </c>
      <c r="M28" s="4">
        <v>-2.9343475367823828</v>
      </c>
      <c r="N28" s="1752" t="str">
        <f>IF(       0.127&lt;0.01,"***",IF(       0.127&lt;0.05,"**",IF(       0.127&lt;0.1,"*","NS")))</f>
        <v>NS</v>
      </c>
      <c r="P28" s="296" t="s">
        <v>3198</v>
      </c>
      <c r="Q28" s="4">
        <v>39.597959321662628</v>
      </c>
      <c r="R28" s="4">
        <v>36.974548098990176</v>
      </c>
      <c r="S28" s="4">
        <v>-2.6234112226724879</v>
      </c>
      <c r="T28" s="1753" t="str">
        <f>IF(       0.17&lt;0.01,"***",IF(       0.17&lt;0.05,"**",IF(       0.17&lt;0.1,"*","NS")))</f>
        <v>NS</v>
      </c>
    </row>
    <row r="29" spans="1:20" x14ac:dyDescent="0.2">
      <c r="A29" s="296" t="s">
        <v>2976</v>
      </c>
      <c r="B29" s="4">
        <v>8.3957258698855313</v>
      </c>
      <c r="C29" s="4">
        <v>5.3303758496238993</v>
      </c>
      <c r="D29" s="4">
        <v>-3.0653500202616173</v>
      </c>
      <c r="E29" s="1754" t="str">
        <f>IF(       0.001&lt;0.01,"***",IF(       0.001&lt;0.05,"**",IF(       0.001&lt;0.1,"*","NS")))</f>
        <v>***</v>
      </c>
      <c r="G29" s="296" t="s">
        <v>3080</v>
      </c>
      <c r="H29" s="4">
        <v>8.3957258698855313</v>
      </c>
      <c r="I29" s="4">
        <v>5.2765327594558533</v>
      </c>
      <c r="J29" s="4">
        <v>-3.1191931104296806</v>
      </c>
      <c r="K29" s="1755" t="str">
        <f>IF(       0.001&lt;0.01,"***",IF(       0.001&lt;0.05,"**",IF(       0.001&lt;0.1,"*","NS")))</f>
        <v>***</v>
      </c>
      <c r="L29" s="4">
        <v>5.518469340495173</v>
      </c>
      <c r="M29" s="4">
        <v>-2.8772565293903676</v>
      </c>
      <c r="N29" s="1756" t="str">
        <f>IF(       0.049&lt;0.01,"***",IF(       0.049&lt;0.05,"**",IF(       0.049&lt;0.1,"*","NS")))</f>
        <v>**</v>
      </c>
      <c r="P29" s="296" t="s">
        <v>3199</v>
      </c>
      <c r="Q29" s="4">
        <v>7.7524348487174191</v>
      </c>
      <c r="R29" s="4">
        <v>5.518469340495173</v>
      </c>
      <c r="S29" s="4">
        <v>-2.2339655082222589</v>
      </c>
      <c r="T29" s="1757" t="str">
        <f>IF(       0.101&lt;0.01,"***",IF(       0.101&lt;0.05,"**",IF(       0.101&lt;0.1,"*","NS")))</f>
        <v>NS</v>
      </c>
    </row>
    <row r="30" spans="1:20" x14ac:dyDescent="0.2">
      <c r="A30" s="296" t="s">
        <v>2977</v>
      </c>
      <c r="B30" s="4">
        <v>24.133394627119099</v>
      </c>
      <c r="C30" s="4">
        <v>19.718107915378901</v>
      </c>
      <c r="D30" s="4">
        <v>-4.4152867117401877</v>
      </c>
      <c r="E30" s="1758" t="str">
        <f>IF(       0&lt;0.01,"***",IF(       0&lt;0.05,"**",IF(       0&lt;0.1,"*","NS")))</f>
        <v>***</v>
      </c>
      <c r="G30" s="296" t="s">
        <v>3081</v>
      </c>
      <c r="H30" s="4">
        <v>24.133394627119099</v>
      </c>
      <c r="I30" s="4">
        <v>20.467930371107961</v>
      </c>
      <c r="J30" s="4">
        <v>-3.6654642560111461</v>
      </c>
      <c r="K30" s="1759" t="str">
        <f>IF(       0.001&lt;0.01,"***",IF(       0.001&lt;0.05,"**",IF(       0.001&lt;0.1,"*","NS")))</f>
        <v>***</v>
      </c>
      <c r="L30" s="4">
        <v>18.597606388340321</v>
      </c>
      <c r="M30" s="4">
        <v>-5.5357882387787924</v>
      </c>
      <c r="N30" s="1760" t="str">
        <f>IF(       0&lt;0.01,"***",IF(       0&lt;0.05,"**",IF(       0&lt;0.1,"*","NS")))</f>
        <v>***</v>
      </c>
      <c r="P30" s="296" t="s">
        <v>3200</v>
      </c>
      <c r="Q30" s="4">
        <v>22.747985854042462</v>
      </c>
      <c r="R30" s="4">
        <v>18.597606388340321</v>
      </c>
      <c r="S30" s="4">
        <v>-4.1503794657021418</v>
      </c>
      <c r="T30" s="1761" t="str">
        <f>IF(       0&lt;0.01,"***",IF(       0&lt;0.05,"**",IF(       0&lt;0.1,"*","NS")))</f>
        <v>***</v>
      </c>
    </row>
    <row r="31" spans="1:20" x14ac:dyDescent="0.2">
      <c r="A31" s="296" t="s">
        <v>2978</v>
      </c>
      <c r="B31" s="4">
        <v>24.18261944946466</v>
      </c>
      <c r="C31" s="4">
        <v>19.58315378332896</v>
      </c>
      <c r="D31" s="4">
        <v>-4.5994656661357114</v>
      </c>
      <c r="E31" s="1762" t="str">
        <f>IF(       0&lt;0.01,"***",IF(       0&lt;0.05,"**",IF(       0&lt;0.1,"*","NS")))</f>
        <v>***</v>
      </c>
      <c r="G31" s="296" t="s">
        <v>3082</v>
      </c>
      <c r="H31" s="4">
        <v>24.18261944946466</v>
      </c>
      <c r="I31" s="4">
        <v>20.590960956642451</v>
      </c>
      <c r="J31" s="4">
        <v>-3.5916584928221775</v>
      </c>
      <c r="K31" s="1763" t="str">
        <f>IF(       0&lt;0.01,"***",IF(       0&lt;0.05,"**",IF(       0&lt;0.1,"*","NS")))</f>
        <v>***</v>
      </c>
      <c r="L31" s="4">
        <v>16.290691583871151</v>
      </c>
      <c r="M31" s="4">
        <v>-7.8919278655934955</v>
      </c>
      <c r="N31" s="1764" t="str">
        <f>IF(       0&lt;0.01,"***",IF(       0&lt;0.05,"**",IF(       0&lt;0.1,"*","NS")))</f>
        <v>***</v>
      </c>
      <c r="P31" s="296" t="s">
        <v>3201</v>
      </c>
      <c r="Q31" s="4">
        <v>22.7229966865115</v>
      </c>
      <c r="R31" s="4">
        <v>16.290691583871151</v>
      </c>
      <c r="S31" s="4">
        <v>-6.4323051026403393</v>
      </c>
      <c r="T31" s="1765" t="str">
        <f>IF(       0&lt;0.01,"***",IF(       0&lt;0.05,"**",IF(       0&lt;0.1,"*","NS")))</f>
        <v>***</v>
      </c>
    </row>
    <row r="32" spans="1:20" x14ac:dyDescent="0.2">
      <c r="A32" s="296" t="s">
        <v>2979</v>
      </c>
      <c r="B32" s="4">
        <v>29.897456161111911</v>
      </c>
      <c r="C32" s="4">
        <v>24.196172263395759</v>
      </c>
      <c r="D32" s="4">
        <v>-5.7012838977161948</v>
      </c>
      <c r="E32" s="1766" t="str">
        <f>IF(       0&lt;0.01,"***",IF(       0&lt;0.05,"**",IF(       0&lt;0.1,"*","NS")))</f>
        <v>***</v>
      </c>
      <c r="G32" s="296" t="s">
        <v>3083</v>
      </c>
      <c r="H32" s="4">
        <v>29.897456161111911</v>
      </c>
      <c r="I32" s="4">
        <v>25.39978466479085</v>
      </c>
      <c r="J32" s="4">
        <v>-4.4976714963210638</v>
      </c>
      <c r="K32" s="1767" t="str">
        <f>IF(       0&lt;0.01,"***",IF(       0&lt;0.05,"**",IF(       0&lt;0.1,"*","NS")))</f>
        <v>***</v>
      </c>
      <c r="L32" s="4">
        <v>21.076622532986139</v>
      </c>
      <c r="M32" s="4">
        <v>-8.8208336281257704</v>
      </c>
      <c r="N32" s="1768" t="str">
        <f>IF(       0&lt;0.01,"***",IF(       0&lt;0.05,"**",IF(       0&lt;0.1,"*","NS")))</f>
        <v>***</v>
      </c>
      <c r="P32" s="296" t="s">
        <v>3202</v>
      </c>
      <c r="Q32" s="4">
        <v>28.720176593134351</v>
      </c>
      <c r="R32" s="4">
        <v>21.076622532986139</v>
      </c>
      <c r="S32" s="4">
        <v>-7.6435540601481229</v>
      </c>
      <c r="T32" s="1769" t="str">
        <f>IF(       0&lt;0.01,"***",IF(       0&lt;0.05,"**",IF(       0&lt;0.1,"*","NS")))</f>
        <v>***</v>
      </c>
    </row>
    <row r="33" spans="1:20" x14ac:dyDescent="0.2">
      <c r="A33" s="296" t="s">
        <v>2980</v>
      </c>
      <c r="B33" s="4">
        <v>35.372212952694348</v>
      </c>
      <c r="C33" s="4">
        <v>26.864363286091141</v>
      </c>
      <c r="D33" s="4">
        <v>-8.5078496666032724</v>
      </c>
      <c r="E33" s="1770" t="str">
        <f>IF(       0&lt;0.01,"***",IF(       0&lt;0.05,"**",IF(       0&lt;0.1,"*","NS")))</f>
        <v>***</v>
      </c>
      <c r="G33" s="296" t="s">
        <v>3084</v>
      </c>
      <c r="H33" s="4">
        <v>35.372212952694348</v>
      </c>
      <c r="I33" s="4">
        <v>27.82082591902185</v>
      </c>
      <c r="J33" s="4">
        <v>-7.5513870336725004</v>
      </c>
      <c r="K33" s="1771" t="str">
        <f>IF(       0&lt;0.01,"***",IF(       0&lt;0.05,"**",IF(       0&lt;0.1,"*","NS")))</f>
        <v>***</v>
      </c>
      <c r="L33" s="4">
        <v>24.221494276974401</v>
      </c>
      <c r="M33" s="4">
        <v>-11.15071867571991</v>
      </c>
      <c r="N33" s="1772" t="str">
        <f>IF(       0&lt;0.01,"***",IF(       0&lt;0.05,"**",IF(       0&lt;0.1,"*","NS")))</f>
        <v>***</v>
      </c>
      <c r="P33" s="296" t="s">
        <v>3203</v>
      </c>
      <c r="Q33" s="4">
        <v>33.604606361399263</v>
      </c>
      <c r="R33" s="4">
        <v>24.221494276974401</v>
      </c>
      <c r="S33" s="4">
        <v>-9.3831120844249263</v>
      </c>
      <c r="T33" s="1773" t="str">
        <f>IF(       0&lt;0.01,"***",IF(       0&lt;0.05,"**",IF(       0&lt;0.1,"*","NS")))</f>
        <v>***</v>
      </c>
    </row>
    <row r="34" spans="1:20" x14ac:dyDescent="0.2">
      <c r="A34" s="296" t="s">
        <v>2981</v>
      </c>
      <c r="B34" s="4">
        <v>24.984611521523821</v>
      </c>
      <c r="C34" s="4">
        <v>21.084092353360109</v>
      </c>
      <c r="D34" s="4">
        <v>-3.9005191681637204</v>
      </c>
      <c r="E34" s="1774" t="str">
        <f>IF(       0.001&lt;0.01,"***",IF(       0.001&lt;0.05,"**",IF(       0.001&lt;0.1,"*","NS")))</f>
        <v>***</v>
      </c>
      <c r="G34" s="296" t="s">
        <v>3085</v>
      </c>
      <c r="H34" s="4">
        <v>24.984611521523821</v>
      </c>
      <c r="I34" s="4">
        <v>21.105982282803861</v>
      </c>
      <c r="J34" s="4">
        <v>-3.8786292387199532</v>
      </c>
      <c r="K34" s="1775" t="str">
        <f>IF(       0&lt;0.01,"***",IF(       0&lt;0.05,"**",IF(       0&lt;0.1,"*","NS")))</f>
        <v>***</v>
      </c>
      <c r="L34" s="4">
        <v>21.011585510412711</v>
      </c>
      <c r="M34" s="4">
        <v>-3.9730260111111102</v>
      </c>
      <c r="N34" s="1776" t="str">
        <f>IF(       0.03&lt;0.01,"***",IF(       0.03&lt;0.05,"**",IF(       0.03&lt;0.1,"*","NS")))</f>
        <v>**</v>
      </c>
      <c r="P34" s="296" t="s">
        <v>3204</v>
      </c>
      <c r="Q34" s="4">
        <v>24.01412627577659</v>
      </c>
      <c r="R34" s="4">
        <v>21.011585510412711</v>
      </c>
      <c r="S34" s="4">
        <v>-3.0025407653638836</v>
      </c>
      <c r="T34" s="1777" t="str">
        <f>IF(       0.074&lt;0.01,"***",IF(       0.074&lt;0.05,"**",IF(       0.074&lt;0.1,"*","NS")))</f>
        <v>*</v>
      </c>
    </row>
    <row r="35" spans="1:20" x14ac:dyDescent="0.2">
      <c r="A35" s="296" t="s">
        <v>2982</v>
      </c>
      <c r="B35" s="4">
        <v>25.265409010855979</v>
      </c>
      <c r="C35" s="4">
        <v>21.83339803220672</v>
      </c>
      <c r="D35" s="4">
        <v>-3.4320109786492825</v>
      </c>
      <c r="E35" s="1778" t="str">
        <f>IF(       0.002&lt;0.01,"***",IF(       0.002&lt;0.05,"**",IF(       0.002&lt;0.1,"*","NS")))</f>
        <v>***</v>
      </c>
      <c r="G35" s="296" t="s">
        <v>3086</v>
      </c>
      <c r="H35" s="4">
        <v>25.265409010855979</v>
      </c>
      <c r="I35" s="4">
        <v>21.954459493420089</v>
      </c>
      <c r="J35" s="4">
        <v>-3.3109495174358923</v>
      </c>
      <c r="K35" s="1779" t="str">
        <f>IF(       0.01&lt;0.01,"***",IF(       0.01&lt;0.05,"**",IF(       0.01&lt;0.1,"*","NS")))</f>
        <v>**</v>
      </c>
      <c r="L35" s="4">
        <v>21.588665547418149</v>
      </c>
      <c r="M35" s="4">
        <v>-3.6767434634378189</v>
      </c>
      <c r="N35" s="1780" t="str">
        <f>IF(       0.002&lt;0.01,"***",IF(       0.002&lt;0.05,"**",IF(       0.002&lt;0.1,"*","NS")))</f>
        <v>***</v>
      </c>
      <c r="P35" s="296" t="s">
        <v>3205</v>
      </c>
      <c r="Q35" s="4">
        <v>24.151650430834529</v>
      </c>
      <c r="R35" s="4">
        <v>21.588665547418149</v>
      </c>
      <c r="S35" s="4">
        <v>-2.5629848834163655</v>
      </c>
      <c r="T35" s="1781" t="str">
        <f>IF(       0.019&lt;0.01,"***",IF(       0.019&lt;0.05,"**",IF(       0.019&lt;0.1,"*","NS")))</f>
        <v>**</v>
      </c>
    </row>
    <row r="36" spans="1:20" x14ac:dyDescent="0.2">
      <c r="A36" s="296" t="s">
        <v>2983</v>
      </c>
      <c r="B36" s="4">
        <v>20.525428868328401</v>
      </c>
      <c r="C36" s="4">
        <v>14.663372051639019</v>
      </c>
      <c r="D36" s="4">
        <v>-5.8620568166894422</v>
      </c>
      <c r="E36" s="1782" t="str">
        <f>IF(       0&lt;0.01,"***",IF(       0&lt;0.05,"**",IF(       0&lt;0.1,"*","NS")))</f>
        <v>***</v>
      </c>
      <c r="G36" s="296" t="s">
        <v>3087</v>
      </c>
      <c r="H36" s="4">
        <v>20.525428868328401</v>
      </c>
      <c r="I36" s="4">
        <v>15.43335563924728</v>
      </c>
      <c r="J36" s="4">
        <v>-5.092073229081131</v>
      </c>
      <c r="K36" s="1783" t="str">
        <f>IF(       0&lt;0.01,"***",IF(       0&lt;0.05,"**",IF(       0&lt;0.1,"*","NS")))</f>
        <v>***</v>
      </c>
      <c r="L36" s="4">
        <v>11.910558874881829</v>
      </c>
      <c r="M36" s="4">
        <v>-8.6148699934465718</v>
      </c>
      <c r="N36" s="1784" t="str">
        <f>IF(       0&lt;0.01,"***",IF(       0&lt;0.05,"**",IF(       0&lt;0.1,"*","NS")))</f>
        <v>***</v>
      </c>
      <c r="P36" s="296" t="s">
        <v>3206</v>
      </c>
      <c r="Q36" s="4">
        <v>19.133358662799012</v>
      </c>
      <c r="R36" s="4">
        <v>11.910558874881829</v>
      </c>
      <c r="S36" s="4">
        <v>-7.2227997879172205</v>
      </c>
      <c r="T36" s="1785" t="str">
        <f>IF(       0&lt;0.01,"***",IF(       0&lt;0.05,"**",IF(       0&lt;0.1,"*","NS")))</f>
        <v>***</v>
      </c>
    </row>
    <row r="37" spans="1:20" x14ac:dyDescent="0.2">
      <c r="A37" s="296" t="s">
        <v>5835</v>
      </c>
      <c r="B37" s="4">
        <v>26.219624093750781</v>
      </c>
      <c r="C37" s="4">
        <v>20.923031918254111</v>
      </c>
      <c r="D37" s="4">
        <v>-5.2965921754965848</v>
      </c>
      <c r="E37" s="1786" t="str">
        <f>IF(       0&lt;0.01,"***",IF(       0&lt;0.05,"**",IF(       0&lt;0.1,"*","NS")))</f>
        <v>***</v>
      </c>
      <c r="G37" s="296" t="s">
        <v>5835</v>
      </c>
      <c r="H37" s="4">
        <v>26.219624093750781</v>
      </c>
      <c r="I37" s="4">
        <v>21.640660070240759</v>
      </c>
      <c r="J37" s="4">
        <v>-4.5789640235099016</v>
      </c>
      <c r="K37" s="1787" t="str">
        <f>IF(       0&lt;0.01,"***",IF(       0&lt;0.05,"**",IF(       0&lt;0.1,"*","NS")))</f>
        <v>***</v>
      </c>
      <c r="L37" s="4">
        <v>18.910489522782139</v>
      </c>
      <c r="M37" s="4">
        <v>-7.3091345709685926</v>
      </c>
      <c r="N37" s="1788" t="str">
        <f>IF(       0&lt;0.01,"***",IF(       0&lt;0.05,"**",IF(       0&lt;0.1,"*","NS")))</f>
        <v>***</v>
      </c>
      <c r="P37" s="296" t="s">
        <v>5835</v>
      </c>
      <c r="Q37" s="4">
        <v>24.91879678946249</v>
      </c>
      <c r="R37" s="4">
        <v>18.910489522782139</v>
      </c>
      <c r="S37" s="4">
        <v>-6.0083072666805402</v>
      </c>
      <c r="T37" s="1789" t="str">
        <f>IF(       0&lt;0.01,"***",IF(       0&lt;0.05,"**",IF(       0&lt;0.1,"*","NS")))</f>
        <v>***</v>
      </c>
    </row>
    <row r="39" spans="1:20" x14ac:dyDescent="0.2">
      <c r="A39" s="296" t="s">
        <v>2984</v>
      </c>
      <c r="G39" s="296" t="s">
        <v>3088</v>
      </c>
      <c r="P39" s="296" t="s">
        <v>3207</v>
      </c>
    </row>
    <row r="40" spans="1:20" s="3" customFormat="1" x14ac:dyDescent="0.2">
      <c r="A40" s="5532" t="s">
        <v>2985</v>
      </c>
      <c r="B40" s="5533" t="s">
        <v>2986</v>
      </c>
      <c r="C40" s="5534" t="s">
        <v>2987</v>
      </c>
      <c r="D40" s="5535" t="s">
        <v>2988</v>
      </c>
      <c r="E40" s="5536" t="s">
        <v>2989</v>
      </c>
      <c r="G40" s="5537" t="s">
        <v>3089</v>
      </c>
      <c r="H40" s="5538" t="s">
        <v>3090</v>
      </c>
      <c r="I40" s="5539" t="s">
        <v>3091</v>
      </c>
      <c r="J40" s="5540" t="s">
        <v>3092</v>
      </c>
      <c r="K40" s="5541" t="s">
        <v>3093</v>
      </c>
      <c r="L40" s="5542" t="s">
        <v>3156</v>
      </c>
      <c r="M40" s="5543" t="s">
        <v>3157</v>
      </c>
      <c r="N40" s="5544" t="s">
        <v>3158</v>
      </c>
      <c r="P40" s="5545" t="s">
        <v>3208</v>
      </c>
      <c r="Q40" s="5546" t="s">
        <v>3209</v>
      </c>
      <c r="R40" s="5547" t="s">
        <v>3210</v>
      </c>
      <c r="S40" s="5548" t="s">
        <v>3211</v>
      </c>
      <c r="T40" s="5549" t="s">
        <v>3212</v>
      </c>
    </row>
    <row r="41" spans="1:20" x14ac:dyDescent="0.2">
      <c r="A41" s="296" t="s">
        <v>2990</v>
      </c>
      <c r="B41" s="4">
        <v>20.571654154476938</v>
      </c>
      <c r="C41" s="4">
        <v>18.600412949029678</v>
      </c>
      <c r="D41" s="4">
        <v>-1.9712412054472588</v>
      </c>
      <c r="E41" s="1790" t="str">
        <f>IF(       0.066&lt;0.01,"***",IF(       0.066&lt;0.05,"**",IF(       0.066&lt;0.1,"*","NS")))</f>
        <v>*</v>
      </c>
      <c r="G41" s="296" t="s">
        <v>3094</v>
      </c>
      <c r="H41" s="4">
        <v>20.571654154476938</v>
      </c>
      <c r="I41" s="4">
        <v>19.074740396167769</v>
      </c>
      <c r="J41" s="4">
        <v>-1.4969137583091641</v>
      </c>
      <c r="K41" s="1791" t="str">
        <f>IF(       0.152&lt;0.01,"***",IF(       0.152&lt;0.05,"**",IF(       0.152&lt;0.1,"*","NS")))</f>
        <v>NS</v>
      </c>
      <c r="L41" s="4">
        <v>16.387574673689851</v>
      </c>
      <c r="M41" s="4">
        <v>-4.1840794807871049</v>
      </c>
      <c r="N41" s="1792" t="str">
        <f>IF(       0.059&lt;0.01,"***",IF(       0.059&lt;0.05,"**",IF(       0.059&lt;0.1,"*","NS")))</f>
        <v>*</v>
      </c>
      <c r="P41" s="296" t="s">
        <v>3213</v>
      </c>
      <c r="Q41" s="4">
        <v>20.065043934339471</v>
      </c>
      <c r="R41" s="4">
        <v>16.387574673689851</v>
      </c>
      <c r="S41" s="4">
        <v>-3.6774692606496293</v>
      </c>
      <c r="T41" s="1793" t="str">
        <f>IF(       0.08&lt;0.01,"***",IF(       0.08&lt;0.05,"**",IF(       0.08&lt;0.1,"*","NS")))</f>
        <v>*</v>
      </c>
    </row>
    <row r="42" spans="1:20" x14ac:dyDescent="0.2">
      <c r="A42" s="296" t="s">
        <v>2991</v>
      </c>
      <c r="B42" s="4">
        <v>25.6571258160714</v>
      </c>
      <c r="C42" s="4">
        <v>23.453350854905231</v>
      </c>
      <c r="D42" s="4">
        <v>-2.2037749611661668</v>
      </c>
      <c r="E42" s="1794" t="str">
        <f>IF(       0.015&lt;0.01,"***",IF(       0.015&lt;0.05,"**",IF(       0.015&lt;0.1,"*","NS")))</f>
        <v>**</v>
      </c>
      <c r="G42" s="296" t="s">
        <v>3095</v>
      </c>
      <c r="H42" s="4">
        <v>25.6571258160714</v>
      </c>
      <c r="I42" s="4">
        <v>23.84198349030472</v>
      </c>
      <c r="J42" s="4">
        <v>-1.8151423257666932</v>
      </c>
      <c r="K42" s="1795" t="str">
        <f>IF(       0.063&lt;0.01,"***",IF(       0.063&lt;0.05,"**",IF(       0.063&lt;0.1,"*","NS")))</f>
        <v>*</v>
      </c>
      <c r="L42" s="4">
        <v>22.405717982202979</v>
      </c>
      <c r="M42" s="4">
        <v>-3.251407833868412</v>
      </c>
      <c r="N42" s="1796" t="str">
        <f>IF(       0.02&lt;0.01,"***",IF(       0.02&lt;0.05,"**",IF(       0.02&lt;0.1,"*","NS")))</f>
        <v>**</v>
      </c>
      <c r="P42" s="296" t="s">
        <v>3214</v>
      </c>
      <c r="Q42" s="4">
        <v>25.22212164818675</v>
      </c>
      <c r="R42" s="4">
        <v>22.405717982202979</v>
      </c>
      <c r="S42" s="4">
        <v>-2.8164036659837572</v>
      </c>
      <c r="T42" s="1797" t="str">
        <f>IF(       0.038&lt;0.01,"***",IF(       0.038&lt;0.05,"**",IF(       0.038&lt;0.1,"*","NS")))</f>
        <v>**</v>
      </c>
    </row>
    <row r="43" spans="1:20" x14ac:dyDescent="0.2">
      <c r="A43" s="296" t="s">
        <v>2992</v>
      </c>
      <c r="B43" s="4">
        <v>19.964080816647151</v>
      </c>
      <c r="C43" s="4">
        <v>15.45346528894869</v>
      </c>
      <c r="D43" s="4">
        <v>-4.5106155276984685</v>
      </c>
      <c r="E43" s="1798" t="str">
        <f>IF(       0.001&lt;0.01,"***",IF(       0.001&lt;0.05,"**",IF(       0.001&lt;0.1,"*","NS")))</f>
        <v>***</v>
      </c>
      <c r="G43" s="296" t="s">
        <v>3096</v>
      </c>
      <c r="H43" s="4">
        <v>19.964080816647151</v>
      </c>
      <c r="I43" s="4">
        <v>15.865739880080101</v>
      </c>
      <c r="J43" s="4">
        <v>-4.098340936567058</v>
      </c>
      <c r="K43" s="1799" t="str">
        <f>IF(       0.002&lt;0.01,"***",IF(       0.002&lt;0.05,"**",IF(       0.002&lt;0.1,"*","NS")))</f>
        <v>***</v>
      </c>
      <c r="L43" s="4">
        <v>14.019359662697299</v>
      </c>
      <c r="M43" s="4">
        <v>-5.9447211539498408</v>
      </c>
      <c r="N43" s="1800" t="str">
        <f>IF(       0.009&lt;0.01,"***",IF(       0.009&lt;0.05,"**",IF(       0.009&lt;0.1,"*","NS")))</f>
        <v>***</v>
      </c>
      <c r="P43" s="296" t="s">
        <v>3215</v>
      </c>
      <c r="Q43" s="4">
        <v>18.991756009206579</v>
      </c>
      <c r="R43" s="4">
        <v>14.019359662697299</v>
      </c>
      <c r="S43" s="4">
        <v>-4.9723963465093162</v>
      </c>
      <c r="T43" s="1801" t="str">
        <f>IF(       0.017&lt;0.01,"***",IF(       0.017&lt;0.05,"**",IF(       0.017&lt;0.1,"*","NS")))</f>
        <v>**</v>
      </c>
    </row>
    <row r="44" spans="1:20" x14ac:dyDescent="0.2">
      <c r="A44" s="296" t="s">
        <v>2993</v>
      </c>
      <c r="B44" s="4">
        <v>24.1272422241308</v>
      </c>
      <c r="C44" s="4">
        <v>20.746380025381391</v>
      </c>
      <c r="D44" s="4">
        <v>-3.3808621987494099</v>
      </c>
      <c r="E44" s="1802" t="str">
        <f>IF(       0.003&lt;0.01,"***",IF(       0.003&lt;0.05,"**",IF(       0.003&lt;0.1,"*","NS")))</f>
        <v>***</v>
      </c>
      <c r="G44" s="296" t="s">
        <v>3097</v>
      </c>
      <c r="H44" s="4">
        <v>24.1272422241308</v>
      </c>
      <c r="I44" s="4">
        <v>21.253359101251519</v>
      </c>
      <c r="J44" s="4">
        <v>-2.8738831228792665</v>
      </c>
      <c r="K44" s="1803" t="str">
        <f>IF(       0.016&lt;0.01,"***",IF(       0.016&lt;0.05,"**",IF(       0.016&lt;0.1,"*","NS")))</f>
        <v>**</v>
      </c>
      <c r="L44" s="4">
        <v>18.63210653360391</v>
      </c>
      <c r="M44" s="4">
        <v>-5.4951356905268742</v>
      </c>
      <c r="N44" s="1804" t="str">
        <f>IF(       0.001&lt;0.01,"***",IF(       0.001&lt;0.05,"**",IF(       0.001&lt;0.1,"*","NS")))</f>
        <v>***</v>
      </c>
      <c r="P44" s="296" t="s">
        <v>3216</v>
      </c>
      <c r="Q44" s="4">
        <v>23.323655412664689</v>
      </c>
      <c r="R44" s="4">
        <v>18.63210653360391</v>
      </c>
      <c r="S44" s="4">
        <v>-4.6915488790607762</v>
      </c>
      <c r="T44" s="1805" t="str">
        <f>IF(       0.001&lt;0.01,"***",IF(       0.001&lt;0.05,"**",IF(       0.001&lt;0.1,"*","NS")))</f>
        <v>***</v>
      </c>
    </row>
    <row r="45" spans="1:20" x14ac:dyDescent="0.2">
      <c r="A45" s="296" t="s">
        <v>2994</v>
      </c>
      <c r="B45" s="4">
        <v>24.98705633193682</v>
      </c>
      <c r="C45" s="4">
        <v>24.22792976670312</v>
      </c>
      <c r="D45" s="4">
        <v>-0.75912656523370314</v>
      </c>
      <c r="E45" s="1806" t="str">
        <f>IF(       0.489&lt;0.01,"***",IF(       0.489&lt;0.05,"**",IF(       0.489&lt;0.1,"*","NS")))</f>
        <v>NS</v>
      </c>
      <c r="G45" s="296" t="s">
        <v>3098</v>
      </c>
      <c r="H45" s="4">
        <v>24.98705633193682</v>
      </c>
      <c r="I45" s="4">
        <v>24.28997414157239</v>
      </c>
      <c r="J45" s="4">
        <v>-0.69708219036443397</v>
      </c>
      <c r="K45" s="1807" t="str">
        <f>IF(       0.489&lt;0.01,"***",IF(       0.489&lt;0.05,"**",IF(       0.489&lt;0.1,"*","NS")))</f>
        <v>NS</v>
      </c>
      <c r="L45" s="4">
        <v>23.910025310583439</v>
      </c>
      <c r="M45" s="4">
        <v>-1.0770310213533638</v>
      </c>
      <c r="N45" s="1808" t="str">
        <f>IF(       0.667&lt;0.01,"***",IF(       0.667&lt;0.05,"**",IF(       0.667&lt;0.1,"*","NS")))</f>
        <v>NS</v>
      </c>
      <c r="P45" s="296" t="s">
        <v>3217</v>
      </c>
      <c r="Q45" s="4">
        <v>24.805341514084851</v>
      </c>
      <c r="R45" s="4">
        <v>23.910025310583439</v>
      </c>
      <c r="S45" s="4">
        <v>-0.89531620350140251</v>
      </c>
      <c r="T45" s="1809" t="str">
        <f>IF(       0.708&lt;0.01,"***",IF(       0.708&lt;0.05,"**",IF(       0.708&lt;0.1,"*","NS")))</f>
        <v>NS</v>
      </c>
    </row>
    <row r="46" spans="1:20" x14ac:dyDescent="0.2">
      <c r="A46" s="296" t="s">
        <v>2995</v>
      </c>
      <c r="B46" s="4">
        <v>25.937618064788438</v>
      </c>
      <c r="C46" s="4">
        <v>21.879790227266952</v>
      </c>
      <c r="D46" s="4">
        <v>-4.0578278375214456</v>
      </c>
      <c r="E46" s="1810" t="str">
        <f>IF(       0&lt;0.01,"***",IF(       0&lt;0.05,"**",IF(       0&lt;0.1,"*","NS")))</f>
        <v>***</v>
      </c>
      <c r="G46" s="296" t="s">
        <v>3099</v>
      </c>
      <c r="H46" s="4">
        <v>25.937618064788438</v>
      </c>
      <c r="I46" s="4">
        <v>22.81733856075487</v>
      </c>
      <c r="J46" s="4">
        <v>-3.1202795040335527</v>
      </c>
      <c r="K46" s="1811" t="str">
        <f>IF(       0.002&lt;0.01,"***",IF(       0.002&lt;0.05,"**",IF(       0.002&lt;0.1,"*","NS")))</f>
        <v>***</v>
      </c>
      <c r="L46" s="4">
        <v>18.614960637186641</v>
      </c>
      <c r="M46" s="4">
        <v>-7.3226574276017473</v>
      </c>
      <c r="N46" s="1812" t="str">
        <f>IF(       0&lt;0.01,"***",IF(       0&lt;0.05,"**",IF(       0&lt;0.1,"*","NS")))</f>
        <v>***</v>
      </c>
      <c r="P46" s="296" t="s">
        <v>3218</v>
      </c>
      <c r="Q46" s="4">
        <v>25.0980773163664</v>
      </c>
      <c r="R46" s="4">
        <v>18.614960637186641</v>
      </c>
      <c r="S46" s="4">
        <v>-6.4831166791797701</v>
      </c>
      <c r="T46" s="1813" t="str">
        <f>IF(       0&lt;0.01,"***",IF(       0&lt;0.05,"**",IF(       0&lt;0.1,"*","NS")))</f>
        <v>***</v>
      </c>
    </row>
    <row r="47" spans="1:20" x14ac:dyDescent="0.2">
      <c r="A47" s="296" t="s">
        <v>2996</v>
      </c>
      <c r="B47" s="4" t="s">
        <v>6067</v>
      </c>
      <c r="C47" s="4" t="s">
        <v>6067</v>
      </c>
      <c r="D47" s="4" t="s">
        <v>6067</v>
      </c>
      <c r="E47" s="4" t="s">
        <v>6067</v>
      </c>
      <c r="G47" s="296" t="s">
        <v>3100</v>
      </c>
      <c r="H47" s="4" t="s">
        <v>6067</v>
      </c>
      <c r="I47" s="4" t="s">
        <v>6067</v>
      </c>
      <c r="J47" s="4" t="s">
        <v>6067</v>
      </c>
      <c r="K47" s="4" t="s">
        <v>6067</v>
      </c>
      <c r="L47" s="4" t="s">
        <v>6067</v>
      </c>
      <c r="M47" s="4" t="s">
        <v>6067</v>
      </c>
      <c r="N47" s="4" t="s">
        <v>6067</v>
      </c>
      <c r="P47" s="296" t="s">
        <v>3219</v>
      </c>
      <c r="Q47" s="4" t="s">
        <v>6067</v>
      </c>
      <c r="R47" s="4" t="s">
        <v>6067</v>
      </c>
      <c r="S47" s="4" t="s">
        <v>6067</v>
      </c>
      <c r="T47" s="4" t="s">
        <v>6067</v>
      </c>
    </row>
    <row r="48" spans="1:20" x14ac:dyDescent="0.2">
      <c r="A48" s="296" t="s">
        <v>2997</v>
      </c>
      <c r="B48" s="4">
        <v>9.7923755393255263</v>
      </c>
      <c r="C48" s="4">
        <v>8.2631374246298304</v>
      </c>
      <c r="D48" s="4">
        <v>-1.5292381146956877</v>
      </c>
      <c r="E48" s="1814" t="str">
        <f>IF(       0.225&lt;0.01,"***",IF(       0.225&lt;0.05,"**",IF(       0.225&lt;0.1,"*","NS")))</f>
        <v>NS</v>
      </c>
      <c r="G48" s="296" t="s">
        <v>3101</v>
      </c>
      <c r="H48" s="4">
        <v>9.7923755393255263</v>
      </c>
      <c r="I48" s="4">
        <v>7.8999575741103776</v>
      </c>
      <c r="J48" s="4">
        <v>-1.8924179652151505</v>
      </c>
      <c r="K48" s="1815" t="str">
        <f>IF(       0.13&lt;0.01,"***",IF(       0.13&lt;0.05,"**",IF(       0.13&lt;0.1,"*","NS")))</f>
        <v>NS</v>
      </c>
      <c r="L48" s="4">
        <v>9.3486357764040804</v>
      </c>
      <c r="M48" s="4">
        <v>-0.44373976292144324</v>
      </c>
      <c r="N48" s="1816" t="str">
        <f>IF(       0.817&lt;0.01,"***",IF(       0.817&lt;0.05,"**",IF(       0.817&lt;0.1,"*","NS")))</f>
        <v>NS</v>
      </c>
      <c r="P48" s="296" t="s">
        <v>3220</v>
      </c>
      <c r="Q48" s="4">
        <v>9.4886080803581603</v>
      </c>
      <c r="R48" s="4">
        <v>9.3486357764040804</v>
      </c>
      <c r="S48" s="4">
        <v>-0.13997230395408755</v>
      </c>
      <c r="T48" s="1817" t="str">
        <f>IF(       0.939&lt;0.01,"***",IF(       0.939&lt;0.05,"**",IF(       0.939&lt;0.1,"*","NS")))</f>
        <v>NS</v>
      </c>
    </row>
    <row r="49" spans="1:20" x14ac:dyDescent="0.2">
      <c r="A49" s="296" t="s">
        <v>2998</v>
      </c>
      <c r="B49" s="4">
        <v>25.391666617903201</v>
      </c>
      <c r="C49" s="4">
        <v>23.016697874822061</v>
      </c>
      <c r="D49" s="4">
        <v>-2.3749687430811366</v>
      </c>
      <c r="E49" s="1818" t="str">
        <f>IF(       0.001&lt;0.01,"***",IF(       0.001&lt;0.05,"**",IF(       0.001&lt;0.1,"*","NS")))</f>
        <v>***</v>
      </c>
      <c r="G49" s="296" t="s">
        <v>3102</v>
      </c>
      <c r="H49" s="4">
        <v>25.391666617903201</v>
      </c>
      <c r="I49" s="4">
        <v>24.03577980395708</v>
      </c>
      <c r="J49" s="4">
        <v>-1.355886813946118</v>
      </c>
      <c r="K49" s="1819" t="str">
        <f>IF(       0.132&lt;0.01,"***",IF(       0.132&lt;0.05,"**",IF(       0.132&lt;0.1,"*","NS")))</f>
        <v>NS</v>
      </c>
      <c r="L49" s="4">
        <v>21.206548439469589</v>
      </c>
      <c r="M49" s="4">
        <v>-4.1851181784336351</v>
      </c>
      <c r="N49" s="1820" t="str">
        <f>IF(       0&lt;0.01,"***",IF(       0&lt;0.05,"**",IF(       0&lt;0.1,"*","NS")))</f>
        <v>***</v>
      </c>
      <c r="P49" s="296" t="s">
        <v>3221</v>
      </c>
      <c r="Q49" s="4">
        <v>24.990638563674551</v>
      </c>
      <c r="R49" s="4">
        <v>21.206548439469589</v>
      </c>
      <c r="S49" s="4">
        <v>-3.7840901242049445</v>
      </c>
      <c r="T49" s="1821" t="str">
        <f>IF(       0&lt;0.01,"***",IF(       0&lt;0.05,"**",IF(       0&lt;0.1,"*","NS")))</f>
        <v>***</v>
      </c>
    </row>
    <row r="50" spans="1:20" x14ac:dyDescent="0.2">
      <c r="A50" s="296" t="s">
        <v>2999</v>
      </c>
      <c r="B50" s="4">
        <v>24.344511779084581</v>
      </c>
      <c r="C50" s="4">
        <v>21.673693103875291</v>
      </c>
      <c r="D50" s="4">
        <v>-2.6708186752093082</v>
      </c>
      <c r="E50" s="1822" t="str">
        <f>IF(       0.001&lt;0.01,"***",IF(       0.001&lt;0.05,"**",IF(       0.001&lt;0.1,"*","NS")))</f>
        <v>***</v>
      </c>
      <c r="G50" s="296" t="s">
        <v>3103</v>
      </c>
      <c r="H50" s="4">
        <v>24.344511779084581</v>
      </c>
      <c r="I50" s="4">
        <v>22.736533418001031</v>
      </c>
      <c r="J50" s="4">
        <v>-1.6079783610835452</v>
      </c>
      <c r="K50" s="1823" t="str">
        <f>IF(       0.019&lt;0.01,"***",IF(       0.019&lt;0.05,"**",IF(       0.019&lt;0.1,"*","NS")))</f>
        <v>**</v>
      </c>
      <c r="L50" s="4">
        <v>18.2397514406921</v>
      </c>
      <c r="M50" s="4">
        <v>-6.1047603383924622</v>
      </c>
      <c r="N50" s="1824" t="str">
        <f>IF(       0&lt;0.01,"***",IF(       0&lt;0.05,"**",IF(       0&lt;0.1,"*","NS")))</f>
        <v>***</v>
      </c>
      <c r="P50" s="296" t="s">
        <v>3222</v>
      </c>
      <c r="Q50" s="4">
        <v>23.757639689490169</v>
      </c>
      <c r="R50" s="4">
        <v>18.2397514406921</v>
      </c>
      <c r="S50" s="4">
        <v>-5.5178882487981591</v>
      </c>
      <c r="T50" s="1825" t="str">
        <f>IF(       0&lt;0.01,"***",IF(       0&lt;0.05,"**",IF(       0&lt;0.1,"*","NS")))</f>
        <v>***</v>
      </c>
    </row>
    <row r="51" spans="1:20" x14ac:dyDescent="0.2">
      <c r="A51" s="296" t="s">
        <v>3000</v>
      </c>
      <c r="B51" s="4">
        <v>30.963308439836851</v>
      </c>
      <c r="C51" s="4">
        <v>25.662732659741241</v>
      </c>
      <c r="D51" s="4">
        <v>-5.300575780095623</v>
      </c>
      <c r="E51" s="1826" t="str">
        <f>IF(       0&lt;0.01,"***",IF(       0&lt;0.05,"**",IF(       0&lt;0.1,"*","NS")))</f>
        <v>***</v>
      </c>
      <c r="G51" s="296" t="s">
        <v>3104</v>
      </c>
      <c r="H51" s="4">
        <v>30.963308439836851</v>
      </c>
      <c r="I51" s="4">
        <v>26.012214172483962</v>
      </c>
      <c r="J51" s="4">
        <v>-4.9510942673528504</v>
      </c>
      <c r="K51" s="1827" t="str">
        <f>IF(       0&lt;0.01,"***",IF(       0&lt;0.05,"**",IF(       0&lt;0.1,"*","NS")))</f>
        <v>***</v>
      </c>
      <c r="L51" s="4">
        <v>24.666057595405761</v>
      </c>
      <c r="M51" s="4">
        <v>-6.2972508444311126</v>
      </c>
      <c r="N51" s="1828" t="str">
        <f>IF(       0&lt;0.01,"***",IF(       0&lt;0.05,"**",IF(       0&lt;0.1,"*","NS")))</f>
        <v>***</v>
      </c>
      <c r="P51" s="296" t="s">
        <v>3223</v>
      </c>
      <c r="Q51" s="4">
        <v>29.891035481739902</v>
      </c>
      <c r="R51" s="4">
        <v>24.666057595405761</v>
      </c>
      <c r="S51" s="4">
        <v>-5.2249778863341341</v>
      </c>
      <c r="T51" s="1829" t="str">
        <f>IF(       0.002&lt;0.01,"***",IF(       0.002&lt;0.05,"**",IF(       0.002&lt;0.1,"*","NS")))</f>
        <v>***</v>
      </c>
    </row>
    <row r="52" spans="1:20" x14ac:dyDescent="0.2">
      <c r="A52" s="296" t="s">
        <v>3001</v>
      </c>
      <c r="B52" s="4">
        <v>34.66736493634356</v>
      </c>
      <c r="C52" s="4">
        <v>29.109786683597719</v>
      </c>
      <c r="D52" s="4">
        <v>-5.5575782527458379</v>
      </c>
      <c r="E52" s="1830" t="str">
        <f>IF(       0&lt;0.01,"***",IF(       0&lt;0.05,"**",IF(       0&lt;0.1,"*","NS")))</f>
        <v>***</v>
      </c>
      <c r="G52" s="296" t="s">
        <v>3105</v>
      </c>
      <c r="H52" s="4">
        <v>34.66736493634356</v>
      </c>
      <c r="I52" s="4">
        <v>31.075764009901238</v>
      </c>
      <c r="J52" s="4">
        <v>-3.5916009264423194</v>
      </c>
      <c r="K52" s="1831" t="str">
        <f>IF(       0.001&lt;0.01,"***",IF(       0.001&lt;0.05,"**",IF(       0.001&lt;0.1,"*","NS")))</f>
        <v>***</v>
      </c>
      <c r="L52" s="4">
        <v>22.760018541919251</v>
      </c>
      <c r="M52" s="4">
        <v>-11.907346394424225</v>
      </c>
      <c r="N52" s="1832" t="str">
        <f>IF(       0&lt;0.01,"***",IF(       0&lt;0.05,"**",IF(       0&lt;0.1,"*","NS")))</f>
        <v>***</v>
      </c>
      <c r="P52" s="296" t="s">
        <v>3224</v>
      </c>
      <c r="Q52" s="4">
        <v>33.956717766696222</v>
      </c>
      <c r="R52" s="4">
        <v>22.760018541919251</v>
      </c>
      <c r="S52" s="4">
        <v>-11.19669922477693</v>
      </c>
      <c r="T52" s="1833" t="str">
        <f>IF(       0&lt;0.01,"***",IF(       0&lt;0.05,"**",IF(       0&lt;0.1,"*","NS")))</f>
        <v>***</v>
      </c>
    </row>
    <row r="53" spans="1:20" x14ac:dyDescent="0.2">
      <c r="A53" s="296" t="s">
        <v>3002</v>
      </c>
      <c r="B53" s="4">
        <v>26.124126274985109</v>
      </c>
      <c r="C53" s="4">
        <v>23.973253650455771</v>
      </c>
      <c r="D53" s="4">
        <v>-2.1508726245293186</v>
      </c>
      <c r="E53" s="1834" t="str">
        <f>IF(       0.014&lt;0.01,"***",IF(       0.014&lt;0.05,"**",IF(       0.014&lt;0.1,"*","NS")))</f>
        <v>**</v>
      </c>
      <c r="G53" s="296" t="s">
        <v>3106</v>
      </c>
      <c r="H53" s="4">
        <v>26.124126274985109</v>
      </c>
      <c r="I53" s="4">
        <v>24.55454567008001</v>
      </c>
      <c r="J53" s="4">
        <v>-1.5695806049050924</v>
      </c>
      <c r="K53" s="1835" t="str">
        <f>IF(       0.068&lt;0.01,"***",IF(       0.068&lt;0.05,"**",IF(       0.068&lt;0.1,"*","NS")))</f>
        <v>*</v>
      </c>
      <c r="L53" s="4">
        <v>22.374987500684021</v>
      </c>
      <c r="M53" s="4">
        <v>-3.7491387743011009</v>
      </c>
      <c r="N53" s="1836" t="str">
        <f>IF(       0.038&lt;0.01,"***",IF(       0.038&lt;0.05,"**",IF(       0.038&lt;0.1,"*","NS")))</f>
        <v>**</v>
      </c>
      <c r="P53" s="296" t="s">
        <v>3225</v>
      </c>
      <c r="Q53" s="4">
        <v>25.818502268121669</v>
      </c>
      <c r="R53" s="4">
        <v>22.374987500684021</v>
      </c>
      <c r="S53" s="4">
        <v>-3.4435147674376814</v>
      </c>
      <c r="T53" s="1837" t="str">
        <f>IF(       0.053&lt;0.01,"***",IF(       0.053&lt;0.05,"**",IF(       0.053&lt;0.1,"*","NS")))</f>
        <v>*</v>
      </c>
    </row>
    <row r="54" spans="1:20" x14ac:dyDescent="0.2">
      <c r="A54" s="296" t="s">
        <v>3003</v>
      </c>
      <c r="B54" s="4">
        <v>25.408315741951579</v>
      </c>
      <c r="C54" s="4">
        <v>22.506088449585569</v>
      </c>
      <c r="D54" s="4">
        <v>-2.9022272923659922</v>
      </c>
      <c r="E54" s="1838" t="str">
        <f>IF(       0.001&lt;0.01,"***",IF(       0.001&lt;0.05,"**",IF(       0.001&lt;0.1,"*","NS")))</f>
        <v>***</v>
      </c>
      <c r="G54" s="296" t="s">
        <v>3107</v>
      </c>
      <c r="H54" s="4">
        <v>25.408315741951579</v>
      </c>
      <c r="I54" s="4">
        <v>23.422057372465531</v>
      </c>
      <c r="J54" s="4">
        <v>-1.9862583694860325</v>
      </c>
      <c r="K54" s="1839" t="str">
        <f>IF(       0.021&lt;0.01,"***",IF(       0.021&lt;0.05,"**",IF(       0.021&lt;0.1,"*","NS")))</f>
        <v>**</v>
      </c>
      <c r="L54" s="4">
        <v>20.24607295490868</v>
      </c>
      <c r="M54" s="4">
        <v>-5.1622427870429028</v>
      </c>
      <c r="N54" s="1840" t="str">
        <f>IF(       0&lt;0.01,"***",IF(       0&lt;0.05,"**",IF(       0&lt;0.1,"*","NS")))</f>
        <v>***</v>
      </c>
      <c r="P54" s="296" t="s">
        <v>3226</v>
      </c>
      <c r="Q54" s="4">
        <v>24.766346125298728</v>
      </c>
      <c r="R54" s="4">
        <v>20.24607295490868</v>
      </c>
      <c r="S54" s="4">
        <v>-4.5202731703900589</v>
      </c>
      <c r="T54" s="1841" t="str">
        <f>IF(       0.001&lt;0.01,"***",IF(       0.001&lt;0.05,"**",IF(       0.001&lt;0.1,"*","NS")))</f>
        <v>***</v>
      </c>
    </row>
    <row r="55" spans="1:20" x14ac:dyDescent="0.2">
      <c r="A55" s="296" t="s">
        <v>3004</v>
      </c>
      <c r="B55" s="4">
        <v>22.187963529639191</v>
      </c>
      <c r="C55" s="4">
        <v>19.509033449176869</v>
      </c>
      <c r="D55" s="4">
        <v>-2.6789300804623037</v>
      </c>
      <c r="E55" s="1842" t="str">
        <f>IF(       0.024&lt;0.01,"***",IF(       0.024&lt;0.05,"**",IF(       0.024&lt;0.1,"*","NS")))</f>
        <v>**</v>
      </c>
      <c r="G55" s="296" t="s">
        <v>3108</v>
      </c>
      <c r="H55" s="4">
        <v>22.187963529639191</v>
      </c>
      <c r="I55" s="4">
        <v>19.466374532068819</v>
      </c>
      <c r="J55" s="4">
        <v>-2.721588997570374</v>
      </c>
      <c r="K55" s="1843" t="str">
        <f>IF(       0.088&lt;0.01,"***",IF(       0.088&lt;0.05,"**",IF(       0.088&lt;0.1,"*","NS")))</f>
        <v>*</v>
      </c>
      <c r="L55" s="4">
        <v>19.624995287098599</v>
      </c>
      <c r="M55" s="4">
        <v>-2.5629682425405997</v>
      </c>
      <c r="N55" s="1844" t="str">
        <f>IF(       0.062&lt;0.01,"***",IF(       0.062&lt;0.05,"**",IF(       0.062&lt;0.1,"*","NS")))</f>
        <v>*</v>
      </c>
      <c r="P55" s="296" t="s">
        <v>3227</v>
      </c>
      <c r="Q55" s="4">
        <v>21.526897447748979</v>
      </c>
      <c r="R55" s="4">
        <v>19.624995287098599</v>
      </c>
      <c r="S55" s="4">
        <v>-1.9019021606503701</v>
      </c>
      <c r="T55" s="1845" t="str">
        <f>IF(       0.19&lt;0.01,"***",IF(       0.19&lt;0.05,"**",IF(       0.19&lt;0.1,"*","NS")))</f>
        <v>NS</v>
      </c>
    </row>
    <row r="56" spans="1:20" x14ac:dyDescent="0.2">
      <c r="A56" s="296" t="s">
        <v>5835</v>
      </c>
      <c r="B56" s="4">
        <v>26.95812632190599</v>
      </c>
      <c r="C56" s="4">
        <v>22.93384796846156</v>
      </c>
      <c r="D56" s="4">
        <v>-4.0242783534444486</v>
      </c>
      <c r="E56" s="1846" t="str">
        <f>IF(       0&lt;0.01,"***",IF(       0&lt;0.05,"**",IF(       0&lt;0.1,"*","NS")))</f>
        <v>***</v>
      </c>
      <c r="G56" s="296" t="s">
        <v>5835</v>
      </c>
      <c r="H56" s="4">
        <v>26.95812632190599</v>
      </c>
      <c r="I56" s="4">
        <v>23.632402332836492</v>
      </c>
      <c r="J56" s="4">
        <v>-3.3257239890694925</v>
      </c>
      <c r="K56" s="1847" t="str">
        <f>IF(       0&lt;0.01,"***",IF(       0&lt;0.05,"**",IF(       0&lt;0.1,"*","NS")))</f>
        <v>***</v>
      </c>
      <c r="L56" s="4">
        <v>20.749315941051499</v>
      </c>
      <c r="M56" s="4">
        <v>-6.2088103808545654</v>
      </c>
      <c r="N56" s="1848" t="str">
        <f>IF(       0&lt;0.01,"***",IF(       0&lt;0.05,"**",IF(       0&lt;0.1,"*","NS")))</f>
        <v>***</v>
      </c>
      <c r="P56" s="296" t="s">
        <v>5835</v>
      </c>
      <c r="Q56" s="4">
        <v>26.131880172532291</v>
      </c>
      <c r="R56" s="4">
        <v>20.749315941051499</v>
      </c>
      <c r="S56" s="4">
        <v>-5.3825642314804778</v>
      </c>
      <c r="T56" s="1849" t="str">
        <f>IF(       0&lt;0.01,"***",IF(       0&lt;0.05,"**",IF(       0&lt;0.1,"*","NS")))</f>
        <v>***</v>
      </c>
    </row>
    <row r="58" spans="1:20" x14ac:dyDescent="0.2">
      <c r="A58" s="296" t="s">
        <v>3005</v>
      </c>
      <c r="G58" s="296" t="s">
        <v>3109</v>
      </c>
      <c r="P58" s="296" t="s">
        <v>3228</v>
      </c>
    </row>
    <row r="59" spans="1:20" s="3" customFormat="1" x14ac:dyDescent="0.2">
      <c r="A59" s="5550" t="s">
        <v>3006</v>
      </c>
      <c r="B59" s="5551" t="s">
        <v>3007</v>
      </c>
      <c r="C59" s="5552" t="s">
        <v>3008</v>
      </c>
      <c r="D59" s="5553" t="s">
        <v>3009</v>
      </c>
      <c r="E59" s="5554" t="s">
        <v>3010</v>
      </c>
      <c r="G59" s="5555" t="s">
        <v>3110</v>
      </c>
      <c r="H59" s="5556" t="s">
        <v>3111</v>
      </c>
      <c r="I59" s="5557" t="s">
        <v>3112</v>
      </c>
      <c r="J59" s="5558" t="s">
        <v>3113</v>
      </c>
      <c r="K59" s="5559" t="s">
        <v>3114</v>
      </c>
      <c r="L59" s="5560" t="s">
        <v>3159</v>
      </c>
      <c r="M59" s="5561" t="s">
        <v>3160</v>
      </c>
      <c r="N59" s="5562" t="s">
        <v>3161</v>
      </c>
      <c r="P59" s="5563" t="s">
        <v>3229</v>
      </c>
      <c r="Q59" s="5564" t="s">
        <v>3230</v>
      </c>
      <c r="R59" s="5565" t="s">
        <v>3231</v>
      </c>
      <c r="S59" s="5566" t="s">
        <v>3232</v>
      </c>
      <c r="T59" s="5567" t="s">
        <v>3233</v>
      </c>
    </row>
    <row r="60" spans="1:20" x14ac:dyDescent="0.2">
      <c r="A60" s="296" t="s">
        <v>3011</v>
      </c>
      <c r="B60" s="4">
        <v>17.181207202163119</v>
      </c>
      <c r="C60" s="4">
        <v>14.18795599145936</v>
      </c>
      <c r="D60" s="4">
        <v>-2.993251210703781</v>
      </c>
      <c r="E60" s="1850" t="str">
        <f>IF(       0&lt;0.01,"***",IF(       0&lt;0.05,"**",IF(       0&lt;0.1,"*","NS")))</f>
        <v>***</v>
      </c>
      <c r="G60" s="296" t="s">
        <v>3115</v>
      </c>
      <c r="H60" s="4">
        <v>17.181207202163119</v>
      </c>
      <c r="I60" s="4">
        <v>14.926693194341521</v>
      </c>
      <c r="J60" s="4">
        <v>-2.2545140078216082</v>
      </c>
      <c r="K60" s="1851" t="str">
        <f>IF(       0.009&lt;0.01,"***",IF(       0.009&lt;0.05,"**",IF(       0.009&lt;0.1,"*","NS")))</f>
        <v>***</v>
      </c>
      <c r="L60" s="4">
        <v>11.26009363531201</v>
      </c>
      <c r="M60" s="4">
        <v>-5.9211135668510329</v>
      </c>
      <c r="N60" s="1852" t="str">
        <f>IF(       0&lt;0.01,"***",IF(       0&lt;0.05,"**",IF(       0&lt;0.1,"*","NS")))</f>
        <v>***</v>
      </c>
      <c r="P60" s="296" t="s">
        <v>3234</v>
      </c>
      <c r="Q60" s="4">
        <v>16.347771021795001</v>
      </c>
      <c r="R60" s="4">
        <v>11.26009363531201</v>
      </c>
      <c r="S60" s="4">
        <v>-5.0876773864829339</v>
      </c>
      <c r="T60" s="1853" t="str">
        <f>IF(       0&lt;0.01,"***",IF(       0&lt;0.05,"**",IF(       0&lt;0.1,"*","NS")))</f>
        <v>***</v>
      </c>
    </row>
    <row r="61" spans="1:20" x14ac:dyDescent="0.2">
      <c r="A61" s="296" t="s">
        <v>3012</v>
      </c>
      <c r="B61" s="4">
        <v>23.966721839136682</v>
      </c>
      <c r="C61" s="4">
        <v>21.2324086135934</v>
      </c>
      <c r="D61" s="4">
        <v>-2.7343132255433176</v>
      </c>
      <c r="E61" s="1854" t="str">
        <f>IF(       0&lt;0.01,"***",IF(       0&lt;0.05,"**",IF(       0&lt;0.1,"*","NS")))</f>
        <v>***</v>
      </c>
      <c r="G61" s="296" t="s">
        <v>3116</v>
      </c>
      <c r="H61" s="4">
        <v>23.966721839136682</v>
      </c>
      <c r="I61" s="4">
        <v>21.67883228288914</v>
      </c>
      <c r="J61" s="4">
        <v>-2.2878895562475514</v>
      </c>
      <c r="K61" s="1855" t="str">
        <f>IF(       0.004&lt;0.01,"***",IF(       0.004&lt;0.05,"**",IF(       0.004&lt;0.1,"*","NS")))</f>
        <v>***</v>
      </c>
      <c r="L61" s="4">
        <v>20.070293527107321</v>
      </c>
      <c r="M61" s="4">
        <v>-3.8964283120293555</v>
      </c>
      <c r="N61" s="1856" t="str">
        <f>IF(       0&lt;0.01,"***",IF(       0&lt;0.05,"**",IF(       0&lt;0.1,"*","NS")))</f>
        <v>***</v>
      </c>
      <c r="P61" s="296" t="s">
        <v>3235</v>
      </c>
      <c r="Q61" s="4">
        <v>23.261391625350761</v>
      </c>
      <c r="R61" s="4">
        <v>20.070293527107321</v>
      </c>
      <c r="S61" s="4">
        <v>-3.1910980982434856</v>
      </c>
      <c r="T61" s="1857" t="str">
        <f>IF(       0.002&lt;0.01,"***",IF(       0.002&lt;0.05,"**",IF(       0.002&lt;0.1,"*","NS")))</f>
        <v>***</v>
      </c>
    </row>
    <row r="62" spans="1:20" x14ac:dyDescent="0.2">
      <c r="A62" s="296" t="s">
        <v>3013</v>
      </c>
      <c r="B62" s="4">
        <v>18.186744250993261</v>
      </c>
      <c r="C62" s="4">
        <v>13.986270095730889</v>
      </c>
      <c r="D62" s="4">
        <v>-4.2004741552623761</v>
      </c>
      <c r="E62" s="1858" t="str">
        <f>IF(       0&lt;0.01,"***",IF(       0&lt;0.05,"**",IF(       0&lt;0.1,"*","NS")))</f>
        <v>***</v>
      </c>
      <c r="G62" s="296" t="s">
        <v>3117</v>
      </c>
      <c r="H62" s="4">
        <v>18.186744250993261</v>
      </c>
      <c r="I62" s="4">
        <v>14.69714495807801</v>
      </c>
      <c r="J62" s="4">
        <v>-3.4895992929152575</v>
      </c>
      <c r="K62" s="1859" t="str">
        <f>IF(       0&lt;0.01,"***",IF(       0&lt;0.05,"**",IF(       0&lt;0.1,"*","NS")))</f>
        <v>***</v>
      </c>
      <c r="L62" s="4">
        <v>11.87131298547744</v>
      </c>
      <c r="M62" s="4">
        <v>-6.3154312655158202</v>
      </c>
      <c r="N62" s="1860" t="str">
        <f>IF(       0&lt;0.01,"***",IF(       0&lt;0.05,"**",IF(       0&lt;0.1,"*","NS")))</f>
        <v>***</v>
      </c>
      <c r="P62" s="296" t="s">
        <v>3236</v>
      </c>
      <c r="Q62" s="4">
        <v>17.296722697840782</v>
      </c>
      <c r="R62" s="4">
        <v>11.87131298547744</v>
      </c>
      <c r="S62" s="4">
        <v>-5.4254097123632601</v>
      </c>
      <c r="T62" s="1861" t="str">
        <f>IF(       0&lt;0.01,"***",IF(       0&lt;0.05,"**",IF(       0&lt;0.1,"*","NS")))</f>
        <v>***</v>
      </c>
    </row>
    <row r="63" spans="1:20" x14ac:dyDescent="0.2">
      <c r="A63" s="296" t="s">
        <v>3014</v>
      </c>
      <c r="B63" s="4">
        <v>22.082423155394739</v>
      </c>
      <c r="C63" s="4">
        <v>19.523410738293659</v>
      </c>
      <c r="D63" s="4">
        <v>-2.5590124171010684</v>
      </c>
      <c r="E63" s="1862" t="str">
        <f>IF(       0.002&lt;0.01,"***",IF(       0.002&lt;0.05,"**",IF(       0.002&lt;0.1,"*","NS")))</f>
        <v>***</v>
      </c>
      <c r="G63" s="296" t="s">
        <v>3118</v>
      </c>
      <c r="H63" s="4">
        <v>22.082423155394739</v>
      </c>
      <c r="I63" s="4">
        <v>20.216477235008991</v>
      </c>
      <c r="J63" s="4">
        <v>-1.8659459203857571</v>
      </c>
      <c r="K63" s="1863" t="str">
        <f>IF(       0.009&lt;0.01,"***",IF(       0.009&lt;0.05,"**",IF(       0.009&lt;0.1,"*","NS")))</f>
        <v>***</v>
      </c>
      <c r="L63" s="4">
        <v>17.03114941412171</v>
      </c>
      <c r="M63" s="4">
        <v>-5.0512737412730644</v>
      </c>
      <c r="N63" s="1864" t="str">
        <f>IF(       0.001&lt;0.01,"***",IF(       0.001&lt;0.05,"**",IF(       0.001&lt;0.1,"*","NS")))</f>
        <v>***</v>
      </c>
      <c r="P63" s="296" t="s">
        <v>3237</v>
      </c>
      <c r="Q63" s="4">
        <v>21.51679651697571</v>
      </c>
      <c r="R63" s="4">
        <v>17.03114941412171</v>
      </c>
      <c r="S63" s="4">
        <v>-4.4856471028539548</v>
      </c>
      <c r="T63" s="1865" t="str">
        <f>IF(       0.002&lt;0.01,"***",IF(       0.002&lt;0.05,"**",IF(       0.002&lt;0.1,"*","NS")))</f>
        <v>***</v>
      </c>
    </row>
    <row r="64" spans="1:20" x14ac:dyDescent="0.2">
      <c r="A64" s="296" t="s">
        <v>3015</v>
      </c>
      <c r="B64" s="4">
        <v>21.087216610218459</v>
      </c>
      <c r="C64" s="4">
        <v>22.69110295168338</v>
      </c>
      <c r="D64" s="4">
        <v>1.6038863414649251</v>
      </c>
      <c r="E64" s="1866" t="str">
        <f>IF(       0.066&lt;0.01,"***",IF(       0.066&lt;0.05,"**",IF(       0.066&lt;0.1,"*","NS")))</f>
        <v>*</v>
      </c>
      <c r="G64" s="296" t="s">
        <v>3119</v>
      </c>
      <c r="H64" s="4">
        <v>21.087216610218459</v>
      </c>
      <c r="I64" s="4">
        <v>23.125509623522149</v>
      </c>
      <c r="J64" s="4">
        <v>2.0382930133037047</v>
      </c>
      <c r="K64" s="1867" t="str">
        <f>IF(       0.015&lt;0.01,"***",IF(       0.015&lt;0.05,"**",IF(       0.015&lt;0.1,"*","NS")))</f>
        <v>**</v>
      </c>
      <c r="L64" s="4">
        <v>20.657919868782301</v>
      </c>
      <c r="M64" s="4">
        <v>-0.42929674143615998</v>
      </c>
      <c r="N64" s="1868" t="str">
        <f>IF(       0.833&lt;0.01,"***",IF(       0.833&lt;0.05,"**",IF(       0.833&lt;0.1,"*","NS")))</f>
        <v>NS</v>
      </c>
      <c r="P64" s="296" t="s">
        <v>3238</v>
      </c>
      <c r="Q64" s="4">
        <v>21.654227305951391</v>
      </c>
      <c r="R64" s="4">
        <v>20.657919868782301</v>
      </c>
      <c r="S64" s="4">
        <v>-0.99630743716908199</v>
      </c>
      <c r="T64" s="1869" t="str">
        <f>IF(       0.616&lt;0.01,"***",IF(       0.616&lt;0.05,"**",IF(       0.616&lt;0.1,"*","NS")))</f>
        <v>NS</v>
      </c>
    </row>
    <row r="65" spans="1:20" x14ac:dyDescent="0.2">
      <c r="A65" s="296" t="s">
        <v>3016</v>
      </c>
      <c r="B65" s="4">
        <v>24.349636733666021</v>
      </c>
      <c r="C65" s="4">
        <v>20.380485997491409</v>
      </c>
      <c r="D65" s="4">
        <v>-3.969150736174575</v>
      </c>
      <c r="E65" s="1870" t="str">
        <f>IF(       0&lt;0.01,"***",IF(       0&lt;0.05,"**",IF(       0&lt;0.1,"*","NS")))</f>
        <v>***</v>
      </c>
      <c r="G65" s="296" t="s">
        <v>3120</v>
      </c>
      <c r="H65" s="4">
        <v>24.349636733666021</v>
      </c>
      <c r="I65" s="4">
        <v>21.569843061862031</v>
      </c>
      <c r="J65" s="4">
        <v>-2.7797936718040592</v>
      </c>
      <c r="K65" s="1871" t="str">
        <f>IF(       0.002&lt;0.01,"***",IF(       0.002&lt;0.05,"**",IF(       0.002&lt;0.1,"*","NS")))</f>
        <v>***</v>
      </c>
      <c r="L65" s="4">
        <v>16.72135555041417</v>
      </c>
      <c r="M65" s="4">
        <v>-7.6282811832519783</v>
      </c>
      <c r="N65" s="1872" t="str">
        <f>IF(       0&lt;0.01,"***",IF(       0&lt;0.05,"**",IF(       0&lt;0.1,"*","NS")))</f>
        <v>***</v>
      </c>
      <c r="P65" s="296" t="s">
        <v>3239</v>
      </c>
      <c r="Q65" s="4">
        <v>23.53675398967922</v>
      </c>
      <c r="R65" s="4">
        <v>16.72135555041417</v>
      </c>
      <c r="S65" s="4">
        <v>-6.8153984392652429</v>
      </c>
      <c r="T65" s="1873" t="str">
        <f>IF(       0&lt;0.01,"***",IF(       0&lt;0.05,"**",IF(       0&lt;0.1,"*","NS")))</f>
        <v>***</v>
      </c>
    </row>
    <row r="66" spans="1:20" x14ac:dyDescent="0.2">
      <c r="A66" s="296" t="s">
        <v>12</v>
      </c>
      <c r="B66" s="4" t="s">
        <v>6067</v>
      </c>
      <c r="C66" s="4" t="s">
        <v>6067</v>
      </c>
      <c r="D66" s="4" t="s">
        <v>6067</v>
      </c>
      <c r="E66" s="4" t="s">
        <v>6067</v>
      </c>
      <c r="G66" s="296" t="s">
        <v>12</v>
      </c>
      <c r="H66" s="4" t="s">
        <v>6067</v>
      </c>
      <c r="I66" s="4" t="s">
        <v>6067</v>
      </c>
      <c r="J66" s="4" t="s">
        <v>6067</v>
      </c>
      <c r="K66" s="4" t="s">
        <v>6067</v>
      </c>
      <c r="L66" s="4" t="s">
        <v>6067</v>
      </c>
      <c r="M66" s="4" t="s">
        <v>6067</v>
      </c>
      <c r="N66" s="4" t="s">
        <v>6067</v>
      </c>
      <c r="P66" s="296" t="s">
        <v>12</v>
      </c>
      <c r="Q66" s="4" t="s">
        <v>6067</v>
      </c>
      <c r="R66" s="4" t="s">
        <v>6067</v>
      </c>
      <c r="S66" s="4" t="s">
        <v>6067</v>
      </c>
      <c r="T66" s="4" t="s">
        <v>6067</v>
      </c>
    </row>
    <row r="67" spans="1:20" x14ac:dyDescent="0.2">
      <c r="A67" s="296" t="s">
        <v>3017</v>
      </c>
      <c r="B67" s="4">
        <v>9.308329514667248</v>
      </c>
      <c r="C67" s="4">
        <v>6.9006380117586792</v>
      </c>
      <c r="D67" s="4">
        <v>-2.4076915029086106</v>
      </c>
      <c r="E67" s="1874" t="str">
        <f>IF(       0.032&lt;0.01,"***",IF(       0.032&lt;0.05,"**",IF(       0.032&lt;0.1,"*","NS")))</f>
        <v>**</v>
      </c>
      <c r="G67" s="296" t="s">
        <v>3121</v>
      </c>
      <c r="H67" s="4">
        <v>9.308329514667248</v>
      </c>
      <c r="I67" s="4">
        <v>6.4973290838915077</v>
      </c>
      <c r="J67" s="4">
        <v>-2.811000430775787</v>
      </c>
      <c r="K67" s="1875" t="str">
        <f>IF(       0.014&lt;0.01,"***",IF(       0.014&lt;0.05,"**",IF(       0.014&lt;0.1,"*","NS")))</f>
        <v>**</v>
      </c>
      <c r="L67" s="4">
        <v>8.1356514417409187</v>
      </c>
      <c r="M67" s="4">
        <v>-1.1726780729263311</v>
      </c>
      <c r="N67" s="1876" t="str">
        <f>IF(       0.412&lt;0.01,"***",IF(       0.412&lt;0.05,"**",IF(       0.412&lt;0.1,"*","NS")))</f>
        <v>NS</v>
      </c>
      <c r="P67" s="296" t="s">
        <v>3240</v>
      </c>
      <c r="Q67" s="4">
        <v>8.7985402734226312</v>
      </c>
      <c r="R67" s="4">
        <v>8.1356514417409187</v>
      </c>
      <c r="S67" s="4">
        <v>-0.66288883168170665</v>
      </c>
      <c r="T67" s="1877" t="str">
        <f>IF(       0.62&lt;0.01,"***",IF(       0.62&lt;0.05,"**",IF(       0.62&lt;0.1,"*","NS")))</f>
        <v>NS</v>
      </c>
    </row>
    <row r="68" spans="1:20" x14ac:dyDescent="0.2">
      <c r="A68" s="296" t="s">
        <v>3018</v>
      </c>
      <c r="B68" s="4">
        <v>22.51885222427309</v>
      </c>
      <c r="C68" s="4">
        <v>20.042283208746561</v>
      </c>
      <c r="D68" s="4">
        <v>-2.4765690155265752</v>
      </c>
      <c r="E68" s="1878" t="str">
        <f>IF(       0&lt;0.01,"***",IF(       0&lt;0.05,"**",IF(       0&lt;0.1,"*","NS")))</f>
        <v>***</v>
      </c>
      <c r="G68" s="296" t="s">
        <v>3122</v>
      </c>
      <c r="H68" s="4">
        <v>22.51885222427309</v>
      </c>
      <c r="I68" s="4">
        <v>20.667006594159201</v>
      </c>
      <c r="J68" s="4">
        <v>-1.8518456301138964</v>
      </c>
      <c r="K68" s="1879" t="str">
        <f>IF(       0.017&lt;0.01,"***",IF(       0.017&lt;0.05,"**",IF(       0.017&lt;0.1,"*","NS")))</f>
        <v>**</v>
      </c>
      <c r="L68" s="4">
        <v>19.069182433380011</v>
      </c>
      <c r="M68" s="4">
        <v>-3.4496697908931342</v>
      </c>
      <c r="N68" s="1880" t="str">
        <f>IF(       0&lt;0.01,"***",IF(       0&lt;0.05,"**",IF(       0&lt;0.1,"*","NS")))</f>
        <v>***</v>
      </c>
      <c r="P68" s="296" t="s">
        <v>3241</v>
      </c>
      <c r="Q68" s="4">
        <v>21.85882955498095</v>
      </c>
      <c r="R68" s="4">
        <v>19.069182433380011</v>
      </c>
      <c r="S68" s="4">
        <v>-2.7896471216009657</v>
      </c>
      <c r="T68" s="1881" t="str">
        <f>IF(       0&lt;0.01,"***",IF(       0&lt;0.05,"**",IF(       0&lt;0.1,"*","NS")))</f>
        <v>***</v>
      </c>
    </row>
    <row r="69" spans="1:20" x14ac:dyDescent="0.2">
      <c r="A69" s="296" t="s">
        <v>3019</v>
      </c>
      <c r="B69" s="4">
        <v>23.887578433727199</v>
      </c>
      <c r="C69" s="4">
        <v>19.967477685057951</v>
      </c>
      <c r="D69" s="4">
        <v>-3.9201007486692641</v>
      </c>
      <c r="E69" s="1882" t="str">
        <f>IF(       0&lt;0.01,"***",IF(       0&lt;0.05,"**",IF(       0&lt;0.1,"*","NS")))</f>
        <v>***</v>
      </c>
      <c r="G69" s="296" t="s">
        <v>3123</v>
      </c>
      <c r="H69" s="4">
        <v>23.887578433727199</v>
      </c>
      <c r="I69" s="4">
        <v>20.97915657003233</v>
      </c>
      <c r="J69" s="4">
        <v>-2.9084218636949055</v>
      </c>
      <c r="K69" s="1883" t="str">
        <f>IF(       0&lt;0.01,"***",IF(       0&lt;0.05,"**",IF(       0&lt;0.1,"*","NS")))</f>
        <v>***</v>
      </c>
      <c r="L69" s="4">
        <v>16.65231700558094</v>
      </c>
      <c r="M69" s="4">
        <v>-7.2352614281461811</v>
      </c>
      <c r="N69" s="1884" t="str">
        <f>IF(       0&lt;0.01,"***",IF(       0&lt;0.05,"**",IF(       0&lt;0.1,"*","NS")))</f>
        <v>***</v>
      </c>
      <c r="P69" s="296" t="s">
        <v>3242</v>
      </c>
      <c r="Q69" s="4">
        <v>22.763578150137331</v>
      </c>
      <c r="R69" s="4">
        <v>16.65231700558094</v>
      </c>
      <c r="S69" s="4">
        <v>-6.1112611445563729</v>
      </c>
      <c r="T69" s="1885" t="str">
        <f>IF(       0&lt;0.01,"***",IF(       0&lt;0.05,"**",IF(       0&lt;0.1,"*","NS")))</f>
        <v>***</v>
      </c>
    </row>
    <row r="70" spans="1:20" x14ac:dyDescent="0.2">
      <c r="A70" s="296" t="s">
        <v>3020</v>
      </c>
      <c r="B70" s="4">
        <v>28.36406666296952</v>
      </c>
      <c r="C70" s="4">
        <v>23.854390847788089</v>
      </c>
      <c r="D70" s="4">
        <v>-4.5096758151814536</v>
      </c>
      <c r="E70" s="1886" t="str">
        <f>IF(       0&lt;0.01,"***",IF(       0&lt;0.05,"**",IF(       0&lt;0.1,"*","NS")))</f>
        <v>***</v>
      </c>
      <c r="G70" s="296" t="s">
        <v>3124</v>
      </c>
      <c r="H70" s="4">
        <v>28.36406666296952</v>
      </c>
      <c r="I70" s="4">
        <v>24.631374847324309</v>
      </c>
      <c r="J70" s="4">
        <v>-3.7326918156452731</v>
      </c>
      <c r="K70" s="1887" t="str">
        <f>IF(       0&lt;0.01,"***",IF(       0&lt;0.05,"**",IF(       0&lt;0.1,"*","NS")))</f>
        <v>***</v>
      </c>
      <c r="L70" s="4">
        <v>21.745912153525261</v>
      </c>
      <c r="M70" s="4">
        <v>-6.618154509444274</v>
      </c>
      <c r="N70" s="1888" t="str">
        <f>IF(       0&lt;0.01,"***",IF(       0&lt;0.05,"**",IF(       0&lt;0.1,"*","NS")))</f>
        <v>***</v>
      </c>
      <c r="P70" s="296" t="s">
        <v>3243</v>
      </c>
      <c r="Q70" s="4">
        <v>27.387362280644869</v>
      </c>
      <c r="R70" s="4">
        <v>21.745912153525261</v>
      </c>
      <c r="S70" s="4">
        <v>-5.6414501271196213</v>
      </c>
      <c r="T70" s="1889" t="str">
        <f>IF(       0&lt;0.01,"***",IF(       0&lt;0.05,"**",IF(       0&lt;0.1,"*","NS")))</f>
        <v>***</v>
      </c>
    </row>
    <row r="71" spans="1:20" x14ac:dyDescent="0.2">
      <c r="A71" s="296" t="s">
        <v>3021</v>
      </c>
      <c r="B71" s="4">
        <v>32.512085994346762</v>
      </c>
      <c r="C71" s="4">
        <v>25.1592118884355</v>
      </c>
      <c r="D71" s="4">
        <v>-7.3528741059113258</v>
      </c>
      <c r="E71" s="1890" t="str">
        <f>IF(       0&lt;0.01,"***",IF(       0&lt;0.05,"**",IF(       0&lt;0.1,"*","NS")))</f>
        <v>***</v>
      </c>
      <c r="G71" s="296" t="s">
        <v>3125</v>
      </c>
      <c r="H71" s="4">
        <v>32.512085994346762</v>
      </c>
      <c r="I71" s="4">
        <v>26.452745537925129</v>
      </c>
      <c r="J71" s="4">
        <v>-6.0593404564215225</v>
      </c>
      <c r="K71" s="1891" t="str">
        <f>IF(       0&lt;0.01,"***",IF(       0&lt;0.05,"**",IF(       0&lt;0.1,"*","NS")))</f>
        <v>***</v>
      </c>
      <c r="L71" s="4">
        <v>21.956722582342579</v>
      </c>
      <c r="M71" s="4">
        <v>-10.555363412004212</v>
      </c>
      <c r="N71" s="1892" t="str">
        <f>IF(       0&lt;0.01,"***",IF(       0&lt;0.05,"**",IF(       0&lt;0.1,"*","NS")))</f>
        <v>***</v>
      </c>
      <c r="P71" s="296" t="s">
        <v>3244</v>
      </c>
      <c r="Q71" s="4">
        <v>31.018956498172209</v>
      </c>
      <c r="R71" s="4">
        <v>21.956722582342579</v>
      </c>
      <c r="S71" s="4">
        <v>-9.0622339158297045</v>
      </c>
      <c r="T71" s="1893" t="str">
        <f>IF(       0&lt;0.01,"***",IF(       0&lt;0.05,"**",IF(       0&lt;0.1,"*","NS")))</f>
        <v>***</v>
      </c>
    </row>
    <row r="72" spans="1:20" x14ac:dyDescent="0.2">
      <c r="A72" s="296" t="s">
        <v>3022</v>
      </c>
      <c r="B72" s="4">
        <v>24.075695300133479</v>
      </c>
      <c r="C72" s="4">
        <v>21.15693357933386</v>
      </c>
      <c r="D72" s="4">
        <v>-2.918761720799611</v>
      </c>
      <c r="E72" s="1894" t="str">
        <f>IF(       0.001&lt;0.01,"***",IF(       0.001&lt;0.05,"**",IF(       0.001&lt;0.1,"*","NS")))</f>
        <v>***</v>
      </c>
      <c r="G72" s="296" t="s">
        <v>3126</v>
      </c>
      <c r="H72" s="4">
        <v>24.075695300133479</v>
      </c>
      <c r="I72" s="4">
        <v>21.358805817817899</v>
      </c>
      <c r="J72" s="4">
        <v>-2.7168894823155241</v>
      </c>
      <c r="K72" s="1895" t="str">
        <f>IF(       0.002&lt;0.01,"***",IF(       0.002&lt;0.05,"**",IF(       0.002&lt;0.1,"*","NS")))</f>
        <v>***</v>
      </c>
      <c r="L72" s="4">
        <v>20.54800115298227</v>
      </c>
      <c r="M72" s="4">
        <v>-3.5276941471512075</v>
      </c>
      <c r="N72" s="1896" t="str">
        <f>IF(       0.011&lt;0.01,"***",IF(       0.011&lt;0.05,"**",IF(       0.011&lt;0.1,"*","NS")))</f>
        <v>**</v>
      </c>
      <c r="P72" s="296" t="s">
        <v>3245</v>
      </c>
      <c r="Q72" s="4">
        <v>23.430173835425752</v>
      </c>
      <c r="R72" s="4">
        <v>20.54800115298227</v>
      </c>
      <c r="S72" s="4">
        <v>-2.8821726824434815</v>
      </c>
      <c r="T72" s="1897" t="str">
        <f>IF(       0.023&lt;0.01,"***",IF(       0.023&lt;0.05,"**",IF(       0.023&lt;0.1,"*","NS")))</f>
        <v>**</v>
      </c>
    </row>
    <row r="73" spans="1:20" x14ac:dyDescent="0.2">
      <c r="A73" s="296" t="s">
        <v>3023</v>
      </c>
      <c r="B73" s="4">
        <v>23.26234931102077</v>
      </c>
      <c r="C73" s="4">
        <v>20.563292958071479</v>
      </c>
      <c r="D73" s="4">
        <v>-2.6990563529493268</v>
      </c>
      <c r="E73" s="1898" t="str">
        <f>IF(       0&lt;0.01,"***",IF(       0&lt;0.05,"**",IF(       0&lt;0.1,"*","NS")))</f>
        <v>***</v>
      </c>
      <c r="G73" s="296" t="s">
        <v>3127</v>
      </c>
      <c r="H73" s="4">
        <v>23.26234931102077</v>
      </c>
      <c r="I73" s="4">
        <v>21.053790710038449</v>
      </c>
      <c r="J73" s="4">
        <v>-2.2085586009823461</v>
      </c>
      <c r="K73" s="1899" t="str">
        <f>IF(       0&lt;0.01,"***",IF(       0&lt;0.05,"**",IF(       0&lt;0.1,"*","NS")))</f>
        <v>***</v>
      </c>
      <c r="L73" s="4">
        <v>19.46051089356277</v>
      </c>
      <c r="M73" s="4">
        <v>-3.8018384174579949</v>
      </c>
      <c r="N73" s="1900" t="str">
        <f>IF(       0&lt;0.01,"***",IF(       0&lt;0.05,"**",IF(       0&lt;0.1,"*","NS")))</f>
        <v>***</v>
      </c>
      <c r="P73" s="296" t="s">
        <v>3246</v>
      </c>
      <c r="Q73" s="4">
        <v>22.511744341793509</v>
      </c>
      <c r="R73" s="4">
        <v>19.46051089356277</v>
      </c>
      <c r="S73" s="4">
        <v>-3.0512334482307093</v>
      </c>
      <c r="T73" s="1901" t="str">
        <f>IF(       0.001&lt;0.01,"***",IF(       0.001&lt;0.05,"**",IF(       0.001&lt;0.1,"*","NS")))</f>
        <v>***</v>
      </c>
    </row>
    <row r="74" spans="1:20" x14ac:dyDescent="0.2">
      <c r="A74" s="296" t="s">
        <v>3024</v>
      </c>
      <c r="B74" s="4">
        <v>20.45143382454177</v>
      </c>
      <c r="C74" s="4">
        <v>15.97353808171831</v>
      </c>
      <c r="D74" s="4">
        <v>-4.4778957428234278</v>
      </c>
      <c r="E74" s="1902" t="str">
        <f>IF(       0&lt;0.01,"***",IF(       0&lt;0.05,"**",IF(       0&lt;0.1,"*","NS")))</f>
        <v>***</v>
      </c>
      <c r="G74" s="296" t="s">
        <v>3128</v>
      </c>
      <c r="H74" s="4">
        <v>20.45143382454177</v>
      </c>
      <c r="I74" s="4">
        <v>16.3613713430668</v>
      </c>
      <c r="J74" s="4">
        <v>-4.0900624814749849</v>
      </c>
      <c r="K74" s="1903" t="str">
        <f>IF(       0.003&lt;0.01,"***",IF(       0.003&lt;0.05,"**",IF(       0.003&lt;0.1,"*","NS")))</f>
        <v>***</v>
      </c>
      <c r="L74" s="4">
        <v>14.690622099170239</v>
      </c>
      <c r="M74" s="4">
        <v>-5.7608117253714965</v>
      </c>
      <c r="N74" s="1904" t="str">
        <f>IF(       0&lt;0.01,"***",IF(       0&lt;0.05,"**",IF(       0&lt;0.1,"*","NS")))</f>
        <v>***</v>
      </c>
      <c r="P74" s="296" t="s">
        <v>3247</v>
      </c>
      <c r="Q74" s="4">
        <v>19.3384713812085</v>
      </c>
      <c r="R74" s="4">
        <v>14.690622099170239</v>
      </c>
      <c r="S74" s="4">
        <v>-4.6478492820381936</v>
      </c>
      <c r="T74" s="1905" t="str">
        <f>IF(       0&lt;0.01,"***",IF(       0&lt;0.05,"**",IF(       0&lt;0.1,"*","NS")))</f>
        <v>***</v>
      </c>
    </row>
    <row r="75" spans="1:20" x14ac:dyDescent="0.2">
      <c r="A75" s="296" t="s">
        <v>5835</v>
      </c>
      <c r="B75" s="4">
        <v>23.693745019476651</v>
      </c>
      <c r="C75" s="4">
        <v>20.105256554846392</v>
      </c>
      <c r="D75" s="4">
        <v>-3.588488464630335</v>
      </c>
      <c r="E75" s="1906" t="str">
        <f>IF(       0&lt;0.01,"***",IF(       0&lt;0.05,"**",IF(       0&lt;0.1,"*","NS")))</f>
        <v>***</v>
      </c>
      <c r="G75" s="296" t="s">
        <v>5835</v>
      </c>
      <c r="H75" s="4">
        <v>23.693745019476651</v>
      </c>
      <c r="I75" s="4">
        <v>20.761608682743461</v>
      </c>
      <c r="J75" s="4">
        <v>-2.9321363367328734</v>
      </c>
      <c r="K75" s="1907" t="str">
        <f>IF(       0&lt;0.01,"***",IF(       0&lt;0.05,"**",IF(       0&lt;0.1,"*","NS")))</f>
        <v>***</v>
      </c>
      <c r="L75" s="4">
        <v>18.231083435121821</v>
      </c>
      <c r="M75" s="4">
        <v>-5.4626615843551187</v>
      </c>
      <c r="N75" s="1908" t="str">
        <f>IF(       0&lt;0.01,"***",IF(       0&lt;0.05,"**",IF(       0&lt;0.1,"*","NS")))</f>
        <v>***</v>
      </c>
      <c r="P75" s="296" t="s">
        <v>5835</v>
      </c>
      <c r="Q75" s="4">
        <v>22.83952905864864</v>
      </c>
      <c r="R75" s="4">
        <v>18.231083435121821</v>
      </c>
      <c r="S75" s="4">
        <v>-4.6084456235264328</v>
      </c>
      <c r="T75" s="1909" t="str">
        <f>IF(       0&lt;0.01,"***",IF(       0&lt;0.05,"**",IF(       0&lt;0.1,"*","NS")))</f>
        <v>***</v>
      </c>
    </row>
    <row r="77" spans="1:20" x14ac:dyDescent="0.2">
      <c r="A77" s="296" t="s">
        <v>3025</v>
      </c>
      <c r="G77" s="296" t="s">
        <v>3129</v>
      </c>
      <c r="P77" s="296" t="s">
        <v>3248</v>
      </c>
    </row>
    <row r="78" spans="1:20" s="3" customFormat="1" x14ac:dyDescent="0.2">
      <c r="A78" s="5568" t="s">
        <v>3026</v>
      </c>
      <c r="B78" s="5569" t="s">
        <v>3027</v>
      </c>
      <c r="C78" s="5570" t="s">
        <v>3028</v>
      </c>
      <c r="D78" s="5571" t="s">
        <v>3029</v>
      </c>
      <c r="E78" s="5572" t="s">
        <v>3030</v>
      </c>
      <c r="G78" s="5573" t="s">
        <v>3130</v>
      </c>
      <c r="H78" s="5574" t="s">
        <v>3131</v>
      </c>
      <c r="I78" s="5575" t="s">
        <v>3132</v>
      </c>
      <c r="J78" s="5576" t="s">
        <v>3133</v>
      </c>
      <c r="K78" s="5577" t="s">
        <v>3134</v>
      </c>
      <c r="L78" s="5578" t="s">
        <v>3162</v>
      </c>
      <c r="M78" s="5579" t="s">
        <v>3163</v>
      </c>
      <c r="N78" s="5580" t="s">
        <v>3164</v>
      </c>
      <c r="P78" s="5581" t="s">
        <v>3249</v>
      </c>
      <c r="Q78" s="5582" t="s">
        <v>3250</v>
      </c>
      <c r="R78" s="5583" t="s">
        <v>3251</v>
      </c>
      <c r="S78" s="5584" t="s">
        <v>3252</v>
      </c>
      <c r="T78" s="5585" t="s">
        <v>3253</v>
      </c>
    </row>
    <row r="79" spans="1:20" x14ac:dyDescent="0.2">
      <c r="A79" s="296" t="s">
        <v>3031</v>
      </c>
      <c r="B79" s="4" t="s">
        <v>6067</v>
      </c>
      <c r="C79" s="4" t="s">
        <v>6067</v>
      </c>
      <c r="D79" s="4" t="s">
        <v>6067</v>
      </c>
      <c r="E79" s="4" t="s">
        <v>6067</v>
      </c>
      <c r="G79" s="296" t="s">
        <v>3135</v>
      </c>
      <c r="H79" s="4" t="s">
        <v>6067</v>
      </c>
      <c r="I79" s="4" t="s">
        <v>6067</v>
      </c>
      <c r="J79" s="4" t="s">
        <v>6067</v>
      </c>
      <c r="K79" s="4" t="s">
        <v>6067</v>
      </c>
      <c r="L79" s="4" t="s">
        <v>6067</v>
      </c>
      <c r="M79" s="4" t="s">
        <v>6067</v>
      </c>
      <c r="N79" s="4" t="s">
        <v>6067</v>
      </c>
      <c r="P79" s="296" t="s">
        <v>3254</v>
      </c>
      <c r="Q79" s="4" t="s">
        <v>6067</v>
      </c>
      <c r="R79" s="4" t="s">
        <v>6067</v>
      </c>
      <c r="S79" s="4" t="s">
        <v>6067</v>
      </c>
      <c r="T79" s="4" t="s">
        <v>6067</v>
      </c>
    </row>
    <row r="80" spans="1:20" x14ac:dyDescent="0.2">
      <c r="A80" s="296" t="s">
        <v>3032</v>
      </c>
      <c r="B80" s="4">
        <v>27.115562695536951</v>
      </c>
      <c r="C80" s="4">
        <v>24.563166101806559</v>
      </c>
      <c r="D80" s="4">
        <v>-2.5523965937303998</v>
      </c>
      <c r="E80" s="1910" t="str">
        <f>IF(       0.046&lt;0.01,"***",IF(       0.046&lt;0.05,"**",IF(       0.046&lt;0.1,"*","NS")))</f>
        <v>**</v>
      </c>
      <c r="G80" s="296" t="s">
        <v>3136</v>
      </c>
      <c r="H80" s="4">
        <v>27.115562695536951</v>
      </c>
      <c r="I80" s="4">
        <v>24.60774758553028</v>
      </c>
      <c r="J80" s="4">
        <v>-2.5078151100066619</v>
      </c>
      <c r="K80" s="1911" t="str">
        <f>IF(       0.139&lt;0.01,"***",IF(       0.139&lt;0.05,"**",IF(       0.139&lt;0.1,"*","NS")))</f>
        <v>NS</v>
      </c>
      <c r="L80" s="4">
        <v>24.44338536419485</v>
      </c>
      <c r="M80" s="4">
        <v>-2.6721773313420996</v>
      </c>
      <c r="N80" s="1912" t="str">
        <f>IF(       0.101&lt;0.01,"***",IF(       0.101&lt;0.05,"**",IF(       0.101&lt;0.1,"*","NS")))</f>
        <v>NS</v>
      </c>
      <c r="P80" s="296" t="s">
        <v>3255</v>
      </c>
      <c r="Q80" s="4">
        <v>26.528675512306361</v>
      </c>
      <c r="R80" s="4">
        <v>24.44338536419485</v>
      </c>
      <c r="S80" s="4">
        <v>-2.0852901481115107</v>
      </c>
      <c r="T80" s="1913" t="str">
        <f>IF(       0.223&lt;0.01,"***",IF(       0.223&lt;0.05,"**",IF(       0.223&lt;0.1,"*","NS")))</f>
        <v>NS</v>
      </c>
    </row>
    <row r="81" spans="1:20" x14ac:dyDescent="0.2">
      <c r="A81" s="296" t="s">
        <v>3033</v>
      </c>
      <c r="B81" s="4" t="s">
        <v>6067</v>
      </c>
      <c r="C81" s="4" t="s">
        <v>6067</v>
      </c>
      <c r="D81" s="4" t="s">
        <v>6067</v>
      </c>
      <c r="E81" s="4" t="s">
        <v>6067</v>
      </c>
      <c r="G81" s="296" t="s">
        <v>3137</v>
      </c>
      <c r="H81" s="4" t="s">
        <v>6067</v>
      </c>
      <c r="I81" s="4" t="s">
        <v>6067</v>
      </c>
      <c r="J81" s="4" t="s">
        <v>6067</v>
      </c>
      <c r="K81" s="4" t="s">
        <v>6067</v>
      </c>
      <c r="L81" s="4" t="s">
        <v>6067</v>
      </c>
      <c r="M81" s="4" t="s">
        <v>6067</v>
      </c>
      <c r="N81" s="4" t="s">
        <v>6067</v>
      </c>
      <c r="P81" s="296" t="s">
        <v>3256</v>
      </c>
      <c r="Q81" s="4" t="s">
        <v>6067</v>
      </c>
      <c r="R81" s="4" t="s">
        <v>6067</v>
      </c>
      <c r="S81" s="4" t="s">
        <v>6067</v>
      </c>
      <c r="T81" s="4" t="s">
        <v>6067</v>
      </c>
    </row>
    <row r="82" spans="1:20" x14ac:dyDescent="0.2">
      <c r="A82" s="296" t="s">
        <v>3034</v>
      </c>
      <c r="B82" s="4" t="s">
        <v>6067</v>
      </c>
      <c r="C82" s="4" t="s">
        <v>6067</v>
      </c>
      <c r="D82" s="4" t="s">
        <v>6067</v>
      </c>
      <c r="E82" s="4" t="s">
        <v>6067</v>
      </c>
      <c r="G82" s="296" t="s">
        <v>3138</v>
      </c>
      <c r="H82" s="4" t="s">
        <v>6067</v>
      </c>
      <c r="I82" s="4" t="s">
        <v>6067</v>
      </c>
      <c r="J82" s="4" t="s">
        <v>6067</v>
      </c>
      <c r="K82" s="4" t="s">
        <v>6067</v>
      </c>
      <c r="L82" s="4" t="s">
        <v>6067</v>
      </c>
      <c r="M82" s="4" t="s">
        <v>6067</v>
      </c>
      <c r="N82" s="4" t="s">
        <v>6067</v>
      </c>
      <c r="P82" s="296" t="s">
        <v>3257</v>
      </c>
      <c r="Q82" s="4" t="s">
        <v>6067</v>
      </c>
      <c r="R82" s="4" t="s">
        <v>6067</v>
      </c>
      <c r="S82" s="4" t="s">
        <v>6067</v>
      </c>
      <c r="T82" s="4" t="s">
        <v>6067</v>
      </c>
    </row>
    <row r="83" spans="1:20" x14ac:dyDescent="0.2">
      <c r="A83" s="296" t="s">
        <v>3035</v>
      </c>
      <c r="B83" s="4" t="s">
        <v>6067</v>
      </c>
      <c r="C83" s="4" t="s">
        <v>6067</v>
      </c>
      <c r="D83" s="4" t="s">
        <v>6067</v>
      </c>
      <c r="E83" s="4" t="s">
        <v>6067</v>
      </c>
      <c r="G83" s="296" t="s">
        <v>3139</v>
      </c>
      <c r="H83" s="4" t="s">
        <v>6067</v>
      </c>
      <c r="I83" s="4" t="s">
        <v>6067</v>
      </c>
      <c r="J83" s="4" t="s">
        <v>6067</v>
      </c>
      <c r="K83" s="4" t="s">
        <v>6067</v>
      </c>
      <c r="L83" s="4" t="s">
        <v>6067</v>
      </c>
      <c r="M83" s="4" t="s">
        <v>6067</v>
      </c>
      <c r="N83" s="4" t="s">
        <v>6067</v>
      </c>
      <c r="P83" s="296" t="s">
        <v>3258</v>
      </c>
      <c r="Q83" s="4" t="s">
        <v>6067</v>
      </c>
      <c r="R83" s="4" t="s">
        <v>6067</v>
      </c>
      <c r="S83" s="4" t="s">
        <v>6067</v>
      </c>
      <c r="T83" s="4" t="s">
        <v>6067</v>
      </c>
    </row>
    <row r="84" spans="1:20" x14ac:dyDescent="0.2">
      <c r="A84" s="296" t="s">
        <v>3036</v>
      </c>
      <c r="B84" s="4" t="s">
        <v>6067</v>
      </c>
      <c r="C84" s="4" t="s">
        <v>6067</v>
      </c>
      <c r="D84" s="4" t="s">
        <v>6067</v>
      </c>
      <c r="E84" s="4" t="s">
        <v>6067</v>
      </c>
      <c r="G84" s="296" t="s">
        <v>3140</v>
      </c>
      <c r="H84" s="4" t="s">
        <v>6067</v>
      </c>
      <c r="I84" s="4" t="s">
        <v>6067</v>
      </c>
      <c r="J84" s="4" t="s">
        <v>6067</v>
      </c>
      <c r="K84" s="4" t="s">
        <v>6067</v>
      </c>
      <c r="L84" s="4" t="s">
        <v>6067</v>
      </c>
      <c r="M84" s="4" t="s">
        <v>6067</v>
      </c>
      <c r="N84" s="4" t="s">
        <v>6067</v>
      </c>
      <c r="P84" s="296" t="s">
        <v>3259</v>
      </c>
      <c r="Q84" s="4" t="s">
        <v>6067</v>
      </c>
      <c r="R84" s="4" t="s">
        <v>6067</v>
      </c>
      <c r="S84" s="4" t="s">
        <v>6067</v>
      </c>
      <c r="T84" s="4" t="s">
        <v>6067</v>
      </c>
    </row>
    <row r="85" spans="1:20" x14ac:dyDescent="0.2">
      <c r="A85" s="296" t="s">
        <v>3037</v>
      </c>
      <c r="B85" s="4">
        <v>38.911454202224903</v>
      </c>
      <c r="C85" s="4">
        <v>37.908442481481259</v>
      </c>
      <c r="D85" s="4">
        <v>-1.0030117207436209</v>
      </c>
      <c r="E85" s="1914" t="str">
        <f>IF(       0.248&lt;0.01,"***",IF(       0.248&lt;0.05,"**",IF(       0.248&lt;0.1,"*","NS")))</f>
        <v>NS</v>
      </c>
      <c r="G85" s="296" t="s">
        <v>3141</v>
      </c>
      <c r="H85" s="4">
        <v>38.911454202224903</v>
      </c>
      <c r="I85" s="4">
        <v>37.948250955076134</v>
      </c>
      <c r="J85" s="4">
        <v>-0.96320324714874928</v>
      </c>
      <c r="K85" s="1915" t="str">
        <f>IF(       0.343&lt;0.01,"***",IF(       0.343&lt;0.05,"**",IF(       0.343&lt;0.1,"*","NS")))</f>
        <v>NS</v>
      </c>
      <c r="L85" s="4">
        <v>37.724040314297703</v>
      </c>
      <c r="M85" s="4">
        <v>-1.1874138879272094</v>
      </c>
      <c r="N85" s="1916" t="str">
        <f>IF(       0.438&lt;0.01,"***",IF(       0.438&lt;0.05,"**",IF(       0.438&lt;0.1,"*","NS")))</f>
        <v>NS</v>
      </c>
      <c r="P85" s="296" t="s">
        <v>3260</v>
      </c>
      <c r="Q85" s="4">
        <v>38.768636903909943</v>
      </c>
      <c r="R85" s="4">
        <v>37.724040314297703</v>
      </c>
      <c r="S85" s="4">
        <v>-1.0445965896122658</v>
      </c>
      <c r="T85" s="1917" t="str">
        <f>IF(       0.499&lt;0.01,"***",IF(       0.499&lt;0.05,"**",IF(       0.499&lt;0.1,"*","NS")))</f>
        <v>NS</v>
      </c>
    </row>
    <row r="86" spans="1:20" x14ac:dyDescent="0.2">
      <c r="A86" s="296" t="s">
        <v>3038</v>
      </c>
      <c r="B86" s="4" t="s">
        <v>6067</v>
      </c>
      <c r="C86" s="4" t="s">
        <v>6067</v>
      </c>
      <c r="D86" s="4" t="s">
        <v>6067</v>
      </c>
      <c r="E86" s="4" t="s">
        <v>6067</v>
      </c>
      <c r="G86" s="296" t="s">
        <v>3142</v>
      </c>
      <c r="H86" s="4" t="s">
        <v>6067</v>
      </c>
      <c r="I86" s="4" t="s">
        <v>6067</v>
      </c>
      <c r="J86" s="4" t="s">
        <v>6067</v>
      </c>
      <c r="K86" s="4" t="s">
        <v>6067</v>
      </c>
      <c r="L86" s="4" t="s">
        <v>6067</v>
      </c>
      <c r="M86" s="4" t="s">
        <v>6067</v>
      </c>
      <c r="N86" s="4" t="s">
        <v>6067</v>
      </c>
      <c r="P86" s="296" t="s">
        <v>3261</v>
      </c>
      <c r="Q86" s="4" t="s">
        <v>6067</v>
      </c>
      <c r="R86" s="4" t="s">
        <v>6067</v>
      </c>
      <c r="S86" s="4" t="s">
        <v>6067</v>
      </c>
      <c r="T86" s="4" t="s">
        <v>6067</v>
      </c>
    </row>
    <row r="87" spans="1:20" x14ac:dyDescent="0.2">
      <c r="A87" s="296" t="s">
        <v>3039</v>
      </c>
      <c r="B87" s="4" t="s">
        <v>6067</v>
      </c>
      <c r="C87" s="4" t="s">
        <v>6067</v>
      </c>
      <c r="D87" s="4" t="s">
        <v>6067</v>
      </c>
      <c r="E87" s="4" t="s">
        <v>6067</v>
      </c>
      <c r="G87" s="296" t="s">
        <v>3143</v>
      </c>
      <c r="H87" s="4" t="s">
        <v>6067</v>
      </c>
      <c r="I87" s="4" t="s">
        <v>6067</v>
      </c>
      <c r="J87" s="4" t="s">
        <v>6067</v>
      </c>
      <c r="K87" s="4" t="s">
        <v>6067</v>
      </c>
      <c r="L87" s="4" t="s">
        <v>6067</v>
      </c>
      <c r="M87" s="4" t="s">
        <v>6067</v>
      </c>
      <c r="N87" s="4" t="s">
        <v>6067</v>
      </c>
      <c r="P87" s="296" t="s">
        <v>3262</v>
      </c>
      <c r="Q87" s="4" t="s">
        <v>6067</v>
      </c>
      <c r="R87" s="4" t="s">
        <v>6067</v>
      </c>
      <c r="S87" s="4" t="s">
        <v>6067</v>
      </c>
      <c r="T87" s="4" t="s">
        <v>6067</v>
      </c>
    </row>
    <row r="88" spans="1:20" x14ac:dyDescent="0.2">
      <c r="A88" s="296" t="s">
        <v>3040</v>
      </c>
      <c r="B88" s="4" t="s">
        <v>6067</v>
      </c>
      <c r="C88" s="4" t="s">
        <v>6067</v>
      </c>
      <c r="D88" s="4" t="s">
        <v>6067</v>
      </c>
      <c r="E88" s="4" t="s">
        <v>6067</v>
      </c>
      <c r="G88" s="296" t="s">
        <v>3144</v>
      </c>
      <c r="H88" s="4" t="s">
        <v>6067</v>
      </c>
      <c r="I88" s="4" t="s">
        <v>6067</v>
      </c>
      <c r="J88" s="4" t="s">
        <v>6067</v>
      </c>
      <c r="K88" s="4" t="s">
        <v>6067</v>
      </c>
      <c r="L88" s="4" t="s">
        <v>6067</v>
      </c>
      <c r="M88" s="4" t="s">
        <v>6067</v>
      </c>
      <c r="N88" s="4" t="s">
        <v>6067</v>
      </c>
      <c r="P88" s="296" t="s">
        <v>3263</v>
      </c>
      <c r="Q88" s="4" t="s">
        <v>6067</v>
      </c>
      <c r="R88" s="4" t="s">
        <v>6067</v>
      </c>
      <c r="S88" s="4" t="s">
        <v>6067</v>
      </c>
      <c r="T88" s="4" t="s">
        <v>6067</v>
      </c>
    </row>
    <row r="89" spans="1:20" x14ac:dyDescent="0.2">
      <c r="A89" s="296" t="s">
        <v>3041</v>
      </c>
      <c r="B89" s="4">
        <v>35.456654490077952</v>
      </c>
      <c r="C89" s="4">
        <v>28.709362632219349</v>
      </c>
      <c r="D89" s="4">
        <v>-6.7472918578585857</v>
      </c>
      <c r="E89" s="1918" t="str">
        <f>IF(       0.001&lt;0.01,"***",IF(       0.001&lt;0.05,"**",IF(       0.001&lt;0.1,"*","NS")))</f>
        <v>***</v>
      </c>
      <c r="G89" s="296" t="s">
        <v>3145</v>
      </c>
      <c r="H89" s="4">
        <v>35.456654490077952</v>
      </c>
      <c r="I89" s="4">
        <v>29.759174674219349</v>
      </c>
      <c r="J89" s="4">
        <v>-5.6974798158586433</v>
      </c>
      <c r="K89" s="1919" t="str">
        <f>IF(       0.002&lt;0.01,"***",IF(       0.002&lt;0.05,"**",IF(       0.002&lt;0.1,"*","NS")))</f>
        <v>***</v>
      </c>
      <c r="L89" s="4">
        <v>25.91574752186196</v>
      </c>
      <c r="M89" s="4">
        <v>-9.5409069682159409</v>
      </c>
      <c r="N89" s="1920" t="str">
        <f>IF(       0.005&lt;0.01,"***",IF(       0.005&lt;0.05,"**",IF(       0.005&lt;0.1,"*","NS")))</f>
        <v>***</v>
      </c>
      <c r="P89" s="296" t="s">
        <v>3264</v>
      </c>
      <c r="Q89" s="4">
        <v>34.435143092954199</v>
      </c>
      <c r="R89" s="4">
        <v>25.91574752186196</v>
      </c>
      <c r="S89" s="4">
        <v>-8.5193955710922484</v>
      </c>
      <c r="T89" s="1921" t="str">
        <f>IF(       0.008&lt;0.01,"***",IF(       0.008&lt;0.05,"**",IF(       0.008&lt;0.1,"*","NS")))</f>
        <v>***</v>
      </c>
    </row>
    <row r="90" spans="1:20" x14ac:dyDescent="0.2">
      <c r="A90" s="296" t="s">
        <v>3042</v>
      </c>
      <c r="B90" s="4" t="s">
        <v>6067</v>
      </c>
      <c r="C90" s="4" t="s">
        <v>6067</v>
      </c>
      <c r="D90" s="4" t="s">
        <v>6067</v>
      </c>
      <c r="E90" s="4" t="s">
        <v>6067</v>
      </c>
      <c r="G90" s="296" t="s">
        <v>3146</v>
      </c>
      <c r="H90" s="4" t="s">
        <v>6067</v>
      </c>
      <c r="I90" s="4" t="s">
        <v>6067</v>
      </c>
      <c r="J90" s="4" t="s">
        <v>6067</v>
      </c>
      <c r="K90" s="4" t="s">
        <v>6067</v>
      </c>
      <c r="L90" s="4" t="s">
        <v>6067</v>
      </c>
      <c r="M90" s="4" t="s">
        <v>6067</v>
      </c>
      <c r="N90" s="4" t="s">
        <v>6067</v>
      </c>
      <c r="P90" s="296" t="s">
        <v>3265</v>
      </c>
      <c r="Q90" s="4" t="s">
        <v>6067</v>
      </c>
      <c r="R90" s="4" t="s">
        <v>6067</v>
      </c>
      <c r="S90" s="4" t="s">
        <v>6067</v>
      </c>
      <c r="T90" s="4" t="s">
        <v>6067</v>
      </c>
    </row>
    <row r="91" spans="1:20" x14ac:dyDescent="0.2">
      <c r="A91" s="296" t="s">
        <v>3043</v>
      </c>
      <c r="B91" s="4" t="s">
        <v>6067</v>
      </c>
      <c r="C91" s="4" t="s">
        <v>6067</v>
      </c>
      <c r="D91" s="4" t="s">
        <v>6067</v>
      </c>
      <c r="E91" s="4" t="s">
        <v>6067</v>
      </c>
      <c r="G91" s="296" t="s">
        <v>3147</v>
      </c>
      <c r="H91" s="4" t="s">
        <v>6067</v>
      </c>
      <c r="I91" s="4" t="s">
        <v>6067</v>
      </c>
      <c r="J91" s="4" t="s">
        <v>6067</v>
      </c>
      <c r="K91" s="4" t="s">
        <v>6067</v>
      </c>
      <c r="L91" s="4" t="s">
        <v>6067</v>
      </c>
      <c r="M91" s="4" t="s">
        <v>6067</v>
      </c>
      <c r="N91" s="4" t="s">
        <v>6067</v>
      </c>
      <c r="P91" s="296" t="s">
        <v>3266</v>
      </c>
      <c r="Q91" s="4" t="s">
        <v>6067</v>
      </c>
      <c r="R91" s="4" t="s">
        <v>6067</v>
      </c>
      <c r="S91" s="4" t="s">
        <v>6067</v>
      </c>
      <c r="T91" s="4" t="s">
        <v>6067</v>
      </c>
    </row>
    <row r="92" spans="1:20" x14ac:dyDescent="0.2">
      <c r="A92" s="296" t="s">
        <v>3044</v>
      </c>
      <c r="B92" s="4">
        <v>33.25623817496669</v>
      </c>
      <c r="C92" s="4">
        <v>29.59032477020104</v>
      </c>
      <c r="D92" s="4">
        <v>-3.665913404765651</v>
      </c>
      <c r="E92" s="1922" t="str">
        <f>IF(       0.127&lt;0.01,"***",IF(       0.127&lt;0.05,"**",IF(       0.127&lt;0.1,"*","NS")))</f>
        <v>NS</v>
      </c>
      <c r="G92" s="296" t="s">
        <v>3148</v>
      </c>
      <c r="H92" s="4">
        <v>33.25623817496669</v>
      </c>
      <c r="I92" s="4">
        <v>30.422217725867021</v>
      </c>
      <c r="J92" s="4">
        <v>-2.8340204490996697</v>
      </c>
      <c r="K92" s="1923" t="str">
        <f>IF(       0.319&lt;0.01,"***",IF(       0.319&lt;0.05,"**",IF(       0.319&lt;0.1,"*","NS")))</f>
        <v>NS</v>
      </c>
      <c r="L92" s="4">
        <v>27.87677963258108</v>
      </c>
      <c r="M92" s="4">
        <v>-5.3794585423856054</v>
      </c>
      <c r="N92" s="1924" t="str">
        <f>IF(       0.017&lt;0.01,"***",IF(       0.017&lt;0.05,"**",IF(       0.017&lt;0.1,"*","NS")))</f>
        <v>**</v>
      </c>
      <c r="P92" s="296" t="s">
        <v>3267</v>
      </c>
      <c r="Q92" s="4">
        <v>32.437035402615322</v>
      </c>
      <c r="R92" s="4">
        <v>27.87677963258108</v>
      </c>
      <c r="S92" s="4">
        <v>-4.5602557700342379</v>
      </c>
      <c r="T92" s="1925" t="str">
        <f>IF(       0.021&lt;0.01,"***",IF(       0.021&lt;0.05,"**",IF(       0.021&lt;0.1,"*","NS")))</f>
        <v>**</v>
      </c>
    </row>
    <row r="93" spans="1:20" x14ac:dyDescent="0.2">
      <c r="A93" s="296" t="s">
        <v>3045</v>
      </c>
      <c r="B93" s="4" t="s">
        <v>6067</v>
      </c>
      <c r="C93" s="4" t="s">
        <v>6067</v>
      </c>
      <c r="D93" s="4" t="s">
        <v>6067</v>
      </c>
      <c r="E93" s="4" t="s">
        <v>6067</v>
      </c>
      <c r="G93" s="296" t="s">
        <v>3149</v>
      </c>
      <c r="H93" s="4" t="s">
        <v>6067</v>
      </c>
      <c r="I93" s="4" t="s">
        <v>6067</v>
      </c>
      <c r="J93" s="4" t="s">
        <v>6067</v>
      </c>
      <c r="K93" s="4" t="s">
        <v>6067</v>
      </c>
      <c r="L93" s="4" t="s">
        <v>6067</v>
      </c>
      <c r="M93" s="4" t="s">
        <v>6067</v>
      </c>
      <c r="N93" s="4" t="s">
        <v>6067</v>
      </c>
      <c r="P93" s="296" t="s">
        <v>3268</v>
      </c>
      <c r="Q93" s="4" t="s">
        <v>6067</v>
      </c>
      <c r="R93" s="4" t="s">
        <v>6067</v>
      </c>
      <c r="S93" s="4" t="s">
        <v>6067</v>
      </c>
      <c r="T93" s="4" t="s">
        <v>6067</v>
      </c>
    </row>
    <row r="94" spans="1:20" x14ac:dyDescent="0.2">
      <c r="A94" s="296" t="s">
        <v>5835</v>
      </c>
      <c r="B94" s="4">
        <v>34.011067934185121</v>
      </c>
      <c r="C94" s="4">
        <v>29.4350498945448</v>
      </c>
      <c r="D94" s="4">
        <v>-4.5760180396401609</v>
      </c>
      <c r="E94" s="1926" t="str">
        <f>IF(       0&lt;0.01,"***",IF(       0&lt;0.05,"**",IF(       0&lt;0.1,"*","NS")))</f>
        <v>***</v>
      </c>
      <c r="G94" s="296" t="s">
        <v>5835</v>
      </c>
      <c r="H94" s="4">
        <v>34.011067934185121</v>
      </c>
      <c r="I94" s="4">
        <v>30.146354821572618</v>
      </c>
      <c r="J94" s="4">
        <v>-3.8647131126125425</v>
      </c>
      <c r="K94" s="1927" t="str">
        <f>IF(       0&lt;0.01,"***",IF(       0&lt;0.05,"**",IF(       0&lt;0.1,"*","NS")))</f>
        <v>***</v>
      </c>
      <c r="L94" s="4">
        <v>27.04249529328165</v>
      </c>
      <c r="M94" s="4">
        <v>-6.9685726409035746</v>
      </c>
      <c r="N94" s="1928" t="str">
        <f>IF(       0&lt;0.01,"***",IF(       0&lt;0.05,"**",IF(       0&lt;0.1,"*","NS")))</f>
        <v>***</v>
      </c>
      <c r="P94" s="296" t="s">
        <v>5835</v>
      </c>
      <c r="Q94" s="4">
        <v>33.251889236069047</v>
      </c>
      <c r="R94" s="4">
        <v>27.04249529328165</v>
      </c>
      <c r="S94" s="4">
        <v>-6.2093939427872398</v>
      </c>
      <c r="T94" s="1929" t="str">
        <f>IF(       0&lt;0.01,"***",IF(       0&lt;0.05,"**",IF(       0&lt;0.1,"*","NS")))</f>
        <v>***</v>
      </c>
    </row>
    <row r="96" spans="1:20" x14ac:dyDescent="0.2">
      <c r="A96" s="296" t="s">
        <v>5732</v>
      </c>
      <c r="G96" s="296" t="s">
        <v>5733</v>
      </c>
      <c r="P96" s="296" t="s">
        <v>5734</v>
      </c>
    </row>
    <row r="97" spans="1:20" s="3" customFormat="1" x14ac:dyDescent="0.2">
      <c r="A97" s="5586" t="s">
        <v>5057</v>
      </c>
      <c r="B97" s="5587" t="s">
        <v>5058</v>
      </c>
      <c r="C97" s="5588" t="s">
        <v>5059</v>
      </c>
      <c r="D97" s="5589" t="s">
        <v>5060</v>
      </c>
      <c r="E97" s="5590" t="s">
        <v>5061</v>
      </c>
      <c r="G97" s="5591" t="s">
        <v>5097</v>
      </c>
      <c r="H97" s="5592" t="s">
        <v>5098</v>
      </c>
      <c r="I97" s="5593" t="s">
        <v>5099</v>
      </c>
      <c r="J97" s="5594" t="s">
        <v>5100</v>
      </c>
      <c r="K97" s="5595" t="s">
        <v>5101</v>
      </c>
      <c r="L97" s="5596" t="s">
        <v>5137</v>
      </c>
      <c r="M97" s="5597" t="s">
        <v>5138</v>
      </c>
      <c r="N97" s="5598" t="s">
        <v>5139</v>
      </c>
      <c r="P97" s="5599" t="s">
        <v>5143</v>
      </c>
      <c r="Q97" s="5600" t="s">
        <v>5144</v>
      </c>
      <c r="R97" s="5601" t="s">
        <v>5145</v>
      </c>
      <c r="S97" s="5602" t="s">
        <v>5146</v>
      </c>
      <c r="T97" s="5603" t="s">
        <v>5147</v>
      </c>
    </row>
    <row r="98" spans="1:20" x14ac:dyDescent="0.2">
      <c r="A98" s="296" t="s">
        <v>5062</v>
      </c>
      <c r="B98" s="4">
        <v>20.079235857422852</v>
      </c>
      <c r="C98" s="4">
        <v>17.60779800106106</v>
      </c>
      <c r="D98" s="4">
        <v>-2.4714378563618098</v>
      </c>
      <c r="E98" s="1930" t="str">
        <f>IF(       0.014&lt;0.01,"***",IF(       0.014&lt;0.05,"**",IF(       0.014&lt;0.1,"*","NS")))</f>
        <v>**</v>
      </c>
      <c r="G98" s="296" t="s">
        <v>5102</v>
      </c>
      <c r="H98" s="4">
        <v>20.079235857422852</v>
      </c>
      <c r="I98" s="4">
        <v>17.575198045135409</v>
      </c>
      <c r="J98" s="4">
        <v>-2.5040378122874669</v>
      </c>
      <c r="K98" s="1931" t="str">
        <f>IF(       0.009&lt;0.01,"***",IF(       0.009&lt;0.05,"**",IF(       0.009&lt;0.1,"*","NS")))</f>
        <v>***</v>
      </c>
      <c r="L98" s="4">
        <v>17.85076472786675</v>
      </c>
      <c r="M98" s="4">
        <v>-2.2284711295560955</v>
      </c>
      <c r="N98" s="1932" t="str">
        <f>IF(       0&lt;0.01,"***",IF(       0&lt;0.05,"**",IF(       0&lt;0.1,"*","NS")))</f>
        <v>***</v>
      </c>
      <c r="P98" s="296" t="s">
        <v>5148</v>
      </c>
      <c r="Q98" s="4">
        <v>19.354568191901961</v>
      </c>
      <c r="R98" s="4">
        <v>17.85076472786675</v>
      </c>
      <c r="S98" s="4">
        <v>-1.5038034640352087</v>
      </c>
      <c r="T98" s="1933" t="str">
        <f>IF(       0.435&lt;0.01,"***",IF(       0.435&lt;0.05,"**",IF(       0.435&lt;0.1,"*","NS")))</f>
        <v>NS</v>
      </c>
    </row>
    <row r="99" spans="1:20" x14ac:dyDescent="0.2">
      <c r="A99" s="296" t="s">
        <v>5063</v>
      </c>
      <c r="B99" s="4">
        <v>24.6353482024175</v>
      </c>
      <c r="C99" s="4">
        <v>21.786853159548109</v>
      </c>
      <c r="D99" s="4">
        <v>-2.8484950428693674</v>
      </c>
      <c r="E99" s="1934" t="str">
        <f>IF(       0.003&lt;0.01,"***",IF(       0.003&lt;0.05,"**",IF(       0.003&lt;0.1,"*","NS")))</f>
        <v>***</v>
      </c>
      <c r="G99" s="296" t="s">
        <v>5103</v>
      </c>
      <c r="H99" s="4">
        <v>24.6353482024175</v>
      </c>
      <c r="I99" s="4">
        <v>22.16503919669934</v>
      </c>
      <c r="J99" s="4">
        <v>-2.4703090057181183</v>
      </c>
      <c r="K99" s="1935" t="str">
        <f>IF(       0.01&lt;0.01,"***",IF(       0.01&lt;0.05,"**",IF(       0.01&lt;0.1,"*","NS")))</f>
        <v>**</v>
      </c>
      <c r="L99" s="4">
        <v>19.98213851704525</v>
      </c>
      <c r="M99" s="4">
        <v>-4.6532096853722802</v>
      </c>
      <c r="N99" s="1936" t="str">
        <f>IF(       0.281&lt;0.01,"***",IF(       0.281&lt;0.05,"**",IF(       0.281&lt;0.1,"*","NS")))</f>
        <v>NS</v>
      </c>
      <c r="P99" s="296" t="s">
        <v>5149</v>
      </c>
      <c r="Q99" s="4">
        <v>24.13787005746029</v>
      </c>
      <c r="R99" s="4">
        <v>19.98213851704525</v>
      </c>
      <c r="S99" s="4">
        <v>-4.1557315404150215</v>
      </c>
      <c r="T99" s="1937" t="str">
        <f>IF(       0.006&lt;0.01,"***",IF(       0.006&lt;0.05,"**",IF(       0.006&lt;0.1,"*","NS")))</f>
        <v>***</v>
      </c>
    </row>
    <row r="100" spans="1:20" x14ac:dyDescent="0.2">
      <c r="A100" s="296" t="s">
        <v>5064</v>
      </c>
      <c r="B100" s="4">
        <v>20.4791755111554</v>
      </c>
      <c r="C100" s="4">
        <v>15.64255735746416</v>
      </c>
      <c r="D100" s="4">
        <v>-4.8366181536912238</v>
      </c>
      <c r="E100" s="1938" t="str">
        <f>IF(       0.001&lt;0.01,"***",IF(       0.001&lt;0.05,"**",IF(       0.001&lt;0.1,"*","NS")))</f>
        <v>***</v>
      </c>
      <c r="G100" s="296" t="s">
        <v>5104</v>
      </c>
      <c r="H100" s="4">
        <v>20.4791755111554</v>
      </c>
      <c r="I100" s="4">
        <v>16.12904931281739</v>
      </c>
      <c r="J100" s="4">
        <v>-4.3501261983380131</v>
      </c>
      <c r="K100" s="1939" t="str">
        <f>IF(       0.002&lt;0.01,"***",IF(       0.002&lt;0.05,"**",IF(       0.002&lt;0.1,"*","NS")))</f>
        <v>***</v>
      </c>
      <c r="L100" s="4">
        <v>13.31464625993274</v>
      </c>
      <c r="M100" s="4">
        <v>-7.164529251222695</v>
      </c>
      <c r="N100" s="1940" t="str">
        <f>IF(       0.003&lt;0.01,"***",IF(       0.003&lt;0.05,"**",IF(       0.003&lt;0.1,"*","NS")))</f>
        <v>***</v>
      </c>
      <c r="P100" s="296" t="s">
        <v>5150</v>
      </c>
      <c r="Q100" s="4">
        <v>19.81690266817947</v>
      </c>
      <c r="R100" s="4">
        <v>13.31464625993274</v>
      </c>
      <c r="S100" s="4">
        <v>-6.5022564082466907</v>
      </c>
      <c r="T100" s="1941" t="str">
        <f>IF(       0.007&lt;0.01,"***",IF(       0.007&lt;0.05,"**",IF(       0.007&lt;0.1,"*","NS")))</f>
        <v>***</v>
      </c>
    </row>
    <row r="101" spans="1:20" x14ac:dyDescent="0.2">
      <c r="A101" s="296" t="s">
        <v>5065</v>
      </c>
      <c r="B101" s="4">
        <v>22.984906308868361</v>
      </c>
      <c r="C101" s="4">
        <v>21.968256071198439</v>
      </c>
      <c r="D101" s="4">
        <v>-1.0166502376699225</v>
      </c>
      <c r="E101" s="1942" t="str">
        <f>IF(       0.315&lt;0.01,"***",IF(       0.315&lt;0.05,"**",IF(       0.315&lt;0.1,"*","NS")))</f>
        <v>NS</v>
      </c>
      <c r="G101" s="296" t="s">
        <v>5105</v>
      </c>
      <c r="H101" s="4">
        <v>22.984906308868361</v>
      </c>
      <c r="I101" s="4">
        <v>22.326130236318139</v>
      </c>
      <c r="J101" s="4">
        <v>-0.65877607255021153</v>
      </c>
      <c r="K101" s="1943" t="str">
        <f>IF(       0.526&lt;0.01,"***",IF(       0.526&lt;0.05,"**",IF(       0.526&lt;0.1,"*","NS")))</f>
        <v>NS</v>
      </c>
      <c r="L101" s="4">
        <v>19.548865971822821</v>
      </c>
      <c r="M101" s="4">
        <v>-3.4360403370455148</v>
      </c>
      <c r="N101" s="1944" t="str">
        <f>IF(       0.005&lt;0.01,"***",IF(       0.005&lt;0.05,"**",IF(       0.005&lt;0.1,"*","NS")))</f>
        <v>***</v>
      </c>
      <c r="P101" s="296" t="s">
        <v>5151</v>
      </c>
      <c r="Q101" s="4">
        <v>22.83978576605513</v>
      </c>
      <c r="R101" s="4">
        <v>19.548865971822821</v>
      </c>
      <c r="S101" s="4">
        <v>-3.2909197942323445</v>
      </c>
      <c r="T101" s="1945" t="str">
        <f>IF(       0.044&lt;0.01,"***",IF(       0.044&lt;0.05,"**",IF(       0.044&lt;0.1,"*","NS")))</f>
        <v>**</v>
      </c>
    </row>
    <row r="102" spans="1:20" x14ac:dyDescent="0.2">
      <c r="A102" s="296" t="s">
        <v>5066</v>
      </c>
      <c r="B102" s="4" t="s">
        <v>6067</v>
      </c>
      <c r="C102" s="4" t="s">
        <v>6067</v>
      </c>
      <c r="D102" s="4" t="s">
        <v>6067</v>
      </c>
      <c r="E102" s="4" t="s">
        <v>6067</v>
      </c>
      <c r="G102" s="296" t="s">
        <v>5106</v>
      </c>
      <c r="H102" s="4" t="s">
        <v>6067</v>
      </c>
      <c r="I102" s="4" t="s">
        <v>6067</v>
      </c>
      <c r="J102" s="4" t="s">
        <v>6067</v>
      </c>
      <c r="K102" s="4" t="s">
        <v>6067</v>
      </c>
      <c r="L102" s="4" t="s">
        <v>6067</v>
      </c>
      <c r="M102" s="4" t="s">
        <v>6067</v>
      </c>
      <c r="N102" s="4" t="s">
        <v>6067</v>
      </c>
      <c r="P102" s="296" t="s">
        <v>5152</v>
      </c>
      <c r="Q102" s="4" t="s">
        <v>6067</v>
      </c>
      <c r="R102" s="4" t="s">
        <v>6067</v>
      </c>
      <c r="S102" s="4" t="s">
        <v>6067</v>
      </c>
      <c r="T102" s="4" t="s">
        <v>6067</v>
      </c>
    </row>
    <row r="103" spans="1:20" x14ac:dyDescent="0.2">
      <c r="A103" s="296" t="s">
        <v>5067</v>
      </c>
      <c r="B103" s="4">
        <v>25.250449544370781</v>
      </c>
      <c r="C103" s="4">
        <v>21.33146620940428</v>
      </c>
      <c r="D103" s="4">
        <v>-3.9189833349664212</v>
      </c>
      <c r="E103" s="1946" t="str">
        <f>IF(       0&lt;0.01,"***",IF(       0&lt;0.05,"**",IF(       0&lt;0.1,"*","NS")))</f>
        <v>***</v>
      </c>
      <c r="G103" s="296" t="s">
        <v>5107</v>
      </c>
      <c r="H103" s="4">
        <v>25.250449544370781</v>
      </c>
      <c r="I103" s="4">
        <v>21.883788245035941</v>
      </c>
      <c r="J103" s="4">
        <v>-3.3666612993348233</v>
      </c>
      <c r="K103" s="1947" t="str">
        <f>IF(       0.002&lt;0.01,"***",IF(       0.002&lt;0.05,"**",IF(       0.002&lt;0.1,"*","NS")))</f>
        <v>***</v>
      </c>
      <c r="L103" s="4">
        <v>18.56654533517743</v>
      </c>
      <c r="M103" s="4">
        <v>-6.6839042091933099</v>
      </c>
      <c r="N103" s="1948" t="str">
        <f>IF(       0.85&lt;0.01,"***",IF(       0.85&lt;0.05,"**",IF(       0.85&lt;0.1,"*","NS")))</f>
        <v>NS</v>
      </c>
      <c r="P103" s="296" t="s">
        <v>5153</v>
      </c>
      <c r="Q103" s="4">
        <v>24.5670229873373</v>
      </c>
      <c r="R103" s="4">
        <v>18.56654533517743</v>
      </c>
      <c r="S103" s="4">
        <v>-6.0004776521600363</v>
      </c>
      <c r="T103" s="1949" t="str">
        <f>IF(       0.001&lt;0.01,"***",IF(       0.001&lt;0.05,"**",IF(       0.001&lt;0.1,"*","NS")))</f>
        <v>***</v>
      </c>
    </row>
    <row r="104" spans="1:20" x14ac:dyDescent="0.2">
      <c r="A104" s="296" t="s">
        <v>5068</v>
      </c>
      <c r="B104" s="4">
        <v>38.39781691386213</v>
      </c>
      <c r="C104" s="4">
        <v>36.177097736444964</v>
      </c>
      <c r="D104" s="4">
        <v>-2.2207191774171671</v>
      </c>
      <c r="E104" s="1950" t="str">
        <f>IF(       0.035&lt;0.01,"***",IF(       0.035&lt;0.05,"**",IF(       0.035&lt;0.1,"*","NS")))</f>
        <v>**</v>
      </c>
      <c r="G104" s="296" t="s">
        <v>5108</v>
      </c>
      <c r="H104" s="4">
        <v>38.39781691386213</v>
      </c>
      <c r="I104" s="4">
        <v>36.355753935028062</v>
      </c>
      <c r="J104" s="4">
        <v>-2.042062978834033</v>
      </c>
      <c r="K104" s="1951" t="str">
        <f>IF(       0.127&lt;0.01,"***",IF(       0.127&lt;0.05,"**",IF(       0.127&lt;0.1,"*","NS")))</f>
        <v>NS</v>
      </c>
      <c r="L104" s="4">
        <v>35.455445306911557</v>
      </c>
      <c r="M104" s="4">
        <v>-2.9423716069505859</v>
      </c>
      <c r="N104" s="1952" t="str">
        <f>IF(       0&lt;0.01,"***",IF(       0&lt;0.05,"**",IF(       0&lt;0.1,"*","NS")))</f>
        <v>***</v>
      </c>
      <c r="P104" s="296" t="s">
        <v>5154</v>
      </c>
      <c r="Q104" s="4">
        <v>38.185022529961927</v>
      </c>
      <c r="R104" s="4">
        <v>35.455445306911557</v>
      </c>
      <c r="S104" s="4">
        <v>-2.7295772230503195</v>
      </c>
      <c r="T104" s="1953" t="str">
        <f>IF(       0.167&lt;0.01,"***",IF(       0.167&lt;0.05,"**",IF(       0.167&lt;0.1,"*","NS")))</f>
        <v>NS</v>
      </c>
    </row>
    <row r="105" spans="1:20" x14ac:dyDescent="0.2">
      <c r="A105" s="296" t="s">
        <v>5069</v>
      </c>
      <c r="B105" s="4" t="s">
        <v>6067</v>
      </c>
      <c r="C105" s="4" t="s">
        <v>6067</v>
      </c>
      <c r="D105" s="4" t="s">
        <v>6067</v>
      </c>
      <c r="E105" s="4" t="s">
        <v>6067</v>
      </c>
      <c r="G105" s="296" t="s">
        <v>5109</v>
      </c>
      <c r="H105" s="4" t="s">
        <v>6067</v>
      </c>
      <c r="I105" s="4" t="s">
        <v>6067</v>
      </c>
      <c r="J105" s="4" t="s">
        <v>6067</v>
      </c>
      <c r="K105" s="4" t="s">
        <v>6067</v>
      </c>
      <c r="L105" s="4" t="s">
        <v>6067</v>
      </c>
      <c r="M105" s="4" t="s">
        <v>6067</v>
      </c>
      <c r="N105" s="4" t="s">
        <v>6067</v>
      </c>
      <c r="P105" s="296" t="s">
        <v>5155</v>
      </c>
      <c r="Q105" s="4" t="s">
        <v>6067</v>
      </c>
      <c r="R105" s="4" t="s">
        <v>6067</v>
      </c>
      <c r="S105" s="4" t="s">
        <v>6067</v>
      </c>
      <c r="T105" s="4" t="s">
        <v>6067</v>
      </c>
    </row>
    <row r="106" spans="1:20" x14ac:dyDescent="0.2">
      <c r="A106" s="296" t="s">
        <v>5070</v>
      </c>
      <c r="B106" s="4">
        <v>24.867907434624161</v>
      </c>
      <c r="C106" s="4">
        <v>21.630925861425151</v>
      </c>
      <c r="D106" s="4">
        <v>-3.2369815731990301</v>
      </c>
      <c r="E106" s="1954" t="str">
        <f>IF(       0.001&lt;0.01,"***",IF(       0.001&lt;0.05,"**",IF(       0.001&lt;0.1,"*","NS")))</f>
        <v>***</v>
      </c>
      <c r="G106" s="296" t="s">
        <v>5110</v>
      </c>
      <c r="H106" s="4">
        <v>24.867907434624161</v>
      </c>
      <c r="I106" s="4">
        <v>21.79057633692797</v>
      </c>
      <c r="J106" s="4">
        <v>-3.0773310976961854</v>
      </c>
      <c r="K106" s="1955" t="str">
        <f>IF(       0.002&lt;0.01,"***",IF(       0.002&lt;0.05,"**",IF(       0.002&lt;0.1,"*","NS")))</f>
        <v>***</v>
      </c>
      <c r="L106" s="4">
        <v>21.20880661085225</v>
      </c>
      <c r="M106" s="4">
        <v>-3.6591008237718774</v>
      </c>
      <c r="N106" s="1956" t="str">
        <f>IF(       0.524&lt;0.01,"***",IF(       0.524&lt;0.05,"**",IF(       0.524&lt;0.1,"*","NS")))</f>
        <v>NS</v>
      </c>
      <c r="P106" s="296" t="s">
        <v>5156</v>
      </c>
      <c r="Q106" s="4">
        <v>24.125033595152871</v>
      </c>
      <c r="R106" s="4">
        <v>21.20880661085225</v>
      </c>
      <c r="S106" s="4">
        <v>-2.9162269843006037</v>
      </c>
      <c r="T106" s="1957" t="str">
        <f>IF(       0.024&lt;0.01,"***",IF(       0.024&lt;0.05,"**",IF(       0.024&lt;0.1,"*","NS")))</f>
        <v>**</v>
      </c>
    </row>
    <row r="107" spans="1:20" x14ac:dyDescent="0.2">
      <c r="A107" s="296" t="s">
        <v>5071</v>
      </c>
      <c r="B107" s="4">
        <v>24.376353576396291</v>
      </c>
      <c r="C107" s="4">
        <v>21.735070510330001</v>
      </c>
      <c r="D107" s="4">
        <v>-2.6412830660662876</v>
      </c>
      <c r="E107" s="1958" t="str">
        <f>IF(       0.001&lt;0.01,"***",IF(       0.001&lt;0.05,"**",IF(       0.001&lt;0.1,"*","NS")))</f>
        <v>***</v>
      </c>
      <c r="G107" s="296" t="s">
        <v>5111</v>
      </c>
      <c r="H107" s="4">
        <v>24.376353576396291</v>
      </c>
      <c r="I107" s="4">
        <v>21.85873372521338</v>
      </c>
      <c r="J107" s="4">
        <v>-2.5176198511829022</v>
      </c>
      <c r="K107" s="1959" t="str">
        <f>IF(       0.001&lt;0.01,"***",IF(       0.001&lt;0.05,"**",IF(       0.001&lt;0.1,"*","NS")))</f>
        <v>***</v>
      </c>
      <c r="L107" s="4">
        <v>21.00938043352679</v>
      </c>
      <c r="M107" s="4">
        <v>-3.3669731428695471</v>
      </c>
      <c r="N107" s="1960" t="str">
        <f>IF(       0.008&lt;0.01,"***",IF(       0.008&lt;0.05,"**",IF(       0.008&lt;0.1,"*","NS")))</f>
        <v>***</v>
      </c>
      <c r="P107" s="296" t="s">
        <v>5157</v>
      </c>
      <c r="Q107" s="4">
        <v>23.57086321078156</v>
      </c>
      <c r="R107" s="4">
        <v>21.00938043352679</v>
      </c>
      <c r="S107" s="4">
        <v>-2.5614827772547479</v>
      </c>
      <c r="T107" s="1961" t="str">
        <f>IF(       0.097&lt;0.01,"***",IF(       0.097&lt;0.05,"**",IF(       0.097&lt;0.1,"*","NS")))</f>
        <v>*</v>
      </c>
    </row>
    <row r="108" spans="1:20" x14ac:dyDescent="0.2">
      <c r="A108" s="296" t="s">
        <v>5072</v>
      </c>
      <c r="B108" s="4">
        <v>30.348837882234889</v>
      </c>
      <c r="C108" s="4">
        <v>25.649963434210651</v>
      </c>
      <c r="D108" s="4">
        <v>-4.6988744480242772</v>
      </c>
      <c r="E108" s="1962" t="str">
        <f>IF(       0&lt;0.01,"***",IF(       0&lt;0.05,"**",IF(       0&lt;0.1,"*","NS")))</f>
        <v>***</v>
      </c>
      <c r="G108" s="296" t="s">
        <v>5112</v>
      </c>
      <c r="H108" s="4">
        <v>30.348837882234889</v>
      </c>
      <c r="I108" s="4">
        <v>25.818759421739241</v>
      </c>
      <c r="J108" s="4">
        <v>-4.5300784604957203</v>
      </c>
      <c r="K108" s="1963" t="str">
        <f>IF(       0&lt;0.01,"***",IF(       0&lt;0.05,"**",IF(       0&lt;0.1,"*","NS")))</f>
        <v>***</v>
      </c>
      <c r="L108" s="4">
        <v>24.96915358194698</v>
      </c>
      <c r="M108" s="4">
        <v>-5.3796843002878472</v>
      </c>
      <c r="N108" s="1964" t="str">
        <f>IF(       0.042&lt;0.01,"***",IF(       0.042&lt;0.05,"**",IF(       0.042&lt;0.1,"*","NS")))</f>
        <v>**</v>
      </c>
      <c r="P108" s="296" t="s">
        <v>5158</v>
      </c>
      <c r="Q108" s="4">
        <v>29.653080902136121</v>
      </c>
      <c r="R108" s="4">
        <v>24.96915358194698</v>
      </c>
      <c r="S108" s="4">
        <v>-4.6839273201891478</v>
      </c>
      <c r="T108" s="1965" t="str">
        <f>IF(       0.004&lt;0.01,"***",IF(       0.004&lt;0.05,"**",IF(       0.004&lt;0.1,"*","NS")))</f>
        <v>***</v>
      </c>
    </row>
    <row r="109" spans="1:20" x14ac:dyDescent="0.2">
      <c r="A109" s="296" t="s">
        <v>5073</v>
      </c>
      <c r="B109" s="4">
        <v>34.933149377923122</v>
      </c>
      <c r="C109" s="4">
        <v>28.581345909861739</v>
      </c>
      <c r="D109" s="4">
        <v>-6.3518034680613651</v>
      </c>
      <c r="E109" s="1966" t="str">
        <f>IF(       0&lt;0.01,"***",IF(       0&lt;0.05,"**",IF(       0&lt;0.1,"*","NS")))</f>
        <v>***</v>
      </c>
      <c r="G109" s="296" t="s">
        <v>5113</v>
      </c>
      <c r="H109" s="4">
        <v>34.933149377923122</v>
      </c>
      <c r="I109" s="4">
        <v>29.549302085196409</v>
      </c>
      <c r="J109" s="4">
        <v>-5.3838472927266876</v>
      </c>
      <c r="K109" s="1967" t="str">
        <f>IF(       0&lt;0.01,"***",IF(       0&lt;0.05,"**",IF(       0&lt;0.1,"*","NS")))</f>
        <v>***</v>
      </c>
      <c r="L109" s="4">
        <v>23.38945086030834</v>
      </c>
      <c r="M109" s="4">
        <v>-11.543698517614718</v>
      </c>
      <c r="N109" s="1968" t="str">
        <f>IF(       0.002&lt;0.01,"***",IF(       0.002&lt;0.05,"**",IF(       0.002&lt;0.1,"*","NS")))</f>
        <v>***</v>
      </c>
      <c r="P109" s="296" t="s">
        <v>5159</v>
      </c>
      <c r="Q109" s="4">
        <v>34.132235803964541</v>
      </c>
      <c r="R109" s="4">
        <v>23.38945086030834</v>
      </c>
      <c r="S109" s="4">
        <v>-10.742784943656257</v>
      </c>
      <c r="T109" s="1969" t="str">
        <f>IF(       0&lt;0.01,"***",IF(       0&lt;0.05,"**",IF(       0&lt;0.1,"*","NS")))</f>
        <v>***</v>
      </c>
    </row>
    <row r="110" spans="1:20" x14ac:dyDescent="0.2">
      <c r="A110" s="296" t="s">
        <v>5074</v>
      </c>
      <c r="B110" s="4">
        <v>25.46088534431032</v>
      </c>
      <c r="C110" s="4">
        <v>22.424098997060231</v>
      </c>
      <c r="D110" s="4">
        <v>-3.0367863472500654</v>
      </c>
      <c r="E110" s="1970" t="str">
        <f>IF(       0.008&lt;0.01,"***",IF(       0.008&lt;0.05,"**",IF(       0.008&lt;0.1,"*","NS")))</f>
        <v>***</v>
      </c>
      <c r="G110" s="296" t="s">
        <v>5114</v>
      </c>
      <c r="H110" s="4">
        <v>25.46088534431032</v>
      </c>
      <c r="I110" s="4">
        <v>21.611751224686579</v>
      </c>
      <c r="J110" s="4">
        <v>-3.849134119623725</v>
      </c>
      <c r="K110" s="1971" t="str">
        <f>IF(       0.001&lt;0.01,"***",IF(       0.001&lt;0.05,"**",IF(       0.001&lt;0.1,"*","NS")))</f>
        <v>***</v>
      </c>
      <c r="L110" s="4">
        <v>25.610256944078611</v>
      </c>
      <c r="M110" s="4">
        <v>0.14937159976828712</v>
      </c>
      <c r="N110" s="1972" t="str">
        <f>IF(       0&lt;0.01,"***",IF(       0&lt;0.05,"**",IF(       0&lt;0.1,"*","NS")))</f>
        <v>***</v>
      </c>
      <c r="P110" s="296" t="s">
        <v>5160</v>
      </c>
      <c r="Q110" s="4">
        <v>24.932259859400819</v>
      </c>
      <c r="R110" s="4">
        <v>25.610256944078611</v>
      </c>
      <c r="S110" s="4">
        <v>0.67799708467779196</v>
      </c>
      <c r="T110" s="1973" t="str">
        <f>IF(       0.736&lt;0.01,"***",IF(       0.736&lt;0.05,"**",IF(       0.736&lt;0.1,"*","NS")))</f>
        <v>NS</v>
      </c>
    </row>
    <row r="111" spans="1:20" x14ac:dyDescent="0.2">
      <c r="A111" s="296" t="s">
        <v>5075</v>
      </c>
      <c r="B111" s="4">
        <v>25.242681066789359</v>
      </c>
      <c r="C111" s="4">
        <v>22.75584390073325</v>
      </c>
      <c r="D111" s="4">
        <v>-2.4868371660561279</v>
      </c>
      <c r="E111" s="1974" t="str">
        <f>IF(       0.005&lt;0.01,"***",IF(       0.005&lt;0.05,"**",IF(       0.005&lt;0.1,"*","NS")))</f>
        <v>***</v>
      </c>
      <c r="G111" s="296" t="s">
        <v>5115</v>
      </c>
      <c r="H111" s="4">
        <v>25.242681066789359</v>
      </c>
      <c r="I111" s="4">
        <v>22.871872601025409</v>
      </c>
      <c r="J111" s="4">
        <v>-2.3708084657639517</v>
      </c>
      <c r="K111" s="1975" t="str">
        <f>IF(       0.011&lt;0.01,"***",IF(       0.011&lt;0.05,"**",IF(       0.011&lt;0.1,"*","NS")))</f>
        <v>**</v>
      </c>
      <c r="L111" s="4">
        <v>22.30783304618074</v>
      </c>
      <c r="M111" s="4">
        <v>-2.9348480206085696</v>
      </c>
      <c r="N111" s="1976" t="str">
        <f>IF(       0.942&lt;0.01,"***",IF(       0.942&lt;0.05,"**",IF(       0.942&lt;0.1,"*","NS")))</f>
        <v>NS</v>
      </c>
      <c r="P111" s="296" t="s">
        <v>5161</v>
      </c>
      <c r="Q111" s="4">
        <v>24.617387754379109</v>
      </c>
      <c r="R111" s="4">
        <v>22.30783304618074</v>
      </c>
      <c r="S111" s="4">
        <v>-2.309554708198347</v>
      </c>
      <c r="T111" s="1977" t="str">
        <f>IF(       0.043&lt;0.01,"***",IF(       0.043&lt;0.05,"**",IF(       0.043&lt;0.1,"*","NS")))</f>
        <v>**</v>
      </c>
    </row>
    <row r="112" spans="1:20" x14ac:dyDescent="0.2">
      <c r="A112" s="296" t="s">
        <v>5076</v>
      </c>
      <c r="B112" s="4">
        <v>21.49220747706077</v>
      </c>
      <c r="C112" s="4">
        <v>18.182977606211971</v>
      </c>
      <c r="D112" s="4">
        <v>-3.3092298708487986</v>
      </c>
      <c r="E112" s="1978" t="str">
        <f>IF(       0.003&lt;0.01,"***",IF(       0.003&lt;0.05,"**",IF(       0.003&lt;0.1,"*","NS")))</f>
        <v>***</v>
      </c>
      <c r="G112" s="296" t="s">
        <v>5116</v>
      </c>
      <c r="H112" s="4">
        <v>21.49220747706077</v>
      </c>
      <c r="I112" s="4">
        <v>17.890089942806529</v>
      </c>
      <c r="J112" s="4">
        <v>-3.6021175342542189</v>
      </c>
      <c r="K112" s="1979" t="str">
        <f>IF(       0.004&lt;0.01,"***",IF(       0.004&lt;0.05,"**",IF(       0.004&lt;0.1,"*","NS")))</f>
        <v>***</v>
      </c>
      <c r="L112" s="4">
        <v>19.91033203488551</v>
      </c>
      <c r="M112" s="4">
        <v>-1.5818754421752641</v>
      </c>
      <c r="N112" s="1980" t="str">
        <f>IF(       0.017&lt;0.01,"***",IF(       0.017&lt;0.05,"**",IF(       0.017&lt;0.1,"*","NS")))</f>
        <v>**</v>
      </c>
      <c r="P112" s="296" t="s">
        <v>5162</v>
      </c>
      <c r="Q112" s="4">
        <v>20.8232599177122</v>
      </c>
      <c r="R112" s="4">
        <v>19.91033203488551</v>
      </c>
      <c r="S112" s="4">
        <v>-0.9129278828266989</v>
      </c>
      <c r="T112" s="1981" t="str">
        <f>IF(       0.67&lt;0.01,"***",IF(       0.67&lt;0.05,"**",IF(       0.67&lt;0.1,"*","NS")))</f>
        <v>NS</v>
      </c>
    </row>
    <row r="113" spans="1:20" x14ac:dyDescent="0.2">
      <c r="A113" s="296" t="s">
        <v>5835</v>
      </c>
      <c r="B113" s="4">
        <v>26.66923518833482</v>
      </c>
      <c r="C113" s="4">
        <v>22.631448409060571</v>
      </c>
      <c r="D113" s="4">
        <v>-4.0377867792742679</v>
      </c>
      <c r="E113" s="1982" t="str">
        <f>IF(       0&lt;0.01,"***",IF(       0&lt;0.05,"**",IF(       0&lt;0.1,"*","NS")))</f>
        <v>***</v>
      </c>
      <c r="G113" s="296" t="s">
        <v>5835</v>
      </c>
      <c r="H113" s="4">
        <v>26.66923518833482</v>
      </c>
      <c r="I113" s="4">
        <v>22.8156537993111</v>
      </c>
      <c r="J113" s="4">
        <v>-3.8535813890237605</v>
      </c>
      <c r="K113" s="1983" t="str">
        <f>IF(       0&lt;0.01,"***",IF(       0&lt;0.05,"**",IF(       0&lt;0.1,"*","NS")))</f>
        <v>***</v>
      </c>
      <c r="L113" s="4">
        <v>21.728644020482349</v>
      </c>
      <c r="M113" s="4">
        <v>-4.9405911678525287</v>
      </c>
      <c r="N113" s="1984" t="str">
        <f>IF(       0&lt;0.01,"***",IF(       0&lt;0.05,"**",IF(       0&lt;0.1,"*","NS")))</f>
        <v>***</v>
      </c>
      <c r="P113" s="296" t="s">
        <v>5835</v>
      </c>
      <c r="Q113" s="4">
        <v>25.93169839291507</v>
      </c>
      <c r="R113" s="4">
        <v>21.728644020482349</v>
      </c>
      <c r="S113" s="4">
        <v>-4.2030543724330931</v>
      </c>
      <c r="T113" s="1985" t="str">
        <f>IF(       0&lt;0.01,"***",IF(       0&lt;0.05,"**",IF(       0&lt;0.1,"*","NS")))</f>
        <v>***</v>
      </c>
    </row>
    <row r="115" spans="1:20" x14ac:dyDescent="0.2">
      <c r="A115" s="296" t="s">
        <v>5771</v>
      </c>
      <c r="G115" s="296" t="s">
        <v>5772</v>
      </c>
      <c r="P115" s="296" t="s">
        <v>5773</v>
      </c>
    </row>
    <row r="116" spans="1:20" s="3" customFormat="1" x14ac:dyDescent="0.2">
      <c r="A116" s="5604" t="s">
        <v>5077</v>
      </c>
      <c r="B116" s="5605" t="s">
        <v>5078</v>
      </c>
      <c r="C116" s="5606" t="s">
        <v>5079</v>
      </c>
      <c r="D116" s="5607" t="s">
        <v>5080</v>
      </c>
      <c r="E116" s="5608" t="s">
        <v>5081</v>
      </c>
      <c r="G116" s="5609" t="s">
        <v>5117</v>
      </c>
      <c r="H116" s="5610" t="s">
        <v>5118</v>
      </c>
      <c r="I116" s="5611" t="s">
        <v>5119</v>
      </c>
      <c r="J116" s="5612" t="s">
        <v>5120</v>
      </c>
      <c r="K116" s="5613" t="s">
        <v>5121</v>
      </c>
      <c r="L116" s="5614" t="s">
        <v>5140</v>
      </c>
      <c r="M116" s="5615" t="s">
        <v>5141</v>
      </c>
      <c r="N116" s="5616" t="s">
        <v>5142</v>
      </c>
      <c r="P116" s="5617" t="s">
        <v>5163</v>
      </c>
      <c r="Q116" s="5618" t="s">
        <v>5164</v>
      </c>
      <c r="R116" s="5619" t="s">
        <v>5165</v>
      </c>
      <c r="S116" s="5620" t="s">
        <v>5166</v>
      </c>
      <c r="T116" s="5621" t="s">
        <v>5167</v>
      </c>
    </row>
    <row r="117" spans="1:20" x14ac:dyDescent="0.2">
      <c r="A117" s="296" t="s">
        <v>5082</v>
      </c>
      <c r="B117" s="4">
        <v>18.377079385536849</v>
      </c>
      <c r="C117" s="4">
        <v>14.49014724154309</v>
      </c>
      <c r="D117" s="4">
        <v>-3.8869321439937652</v>
      </c>
      <c r="E117" s="1986" t="str">
        <f>IF(       0.004&lt;0.01,"***",IF(       0.004&lt;0.05,"**",IF(       0.004&lt;0.1,"*","NS")))</f>
        <v>***</v>
      </c>
      <c r="G117" s="296" t="s">
        <v>5122</v>
      </c>
      <c r="H117" s="4">
        <v>18.377079385536849</v>
      </c>
      <c r="I117" s="4">
        <v>15.329138108173879</v>
      </c>
      <c r="J117" s="4">
        <v>-3.0479412773629728</v>
      </c>
      <c r="K117" s="1987" t="str">
        <f>IF(       0.041&lt;0.01,"***",IF(       0.041&lt;0.05,"**",IF(       0.041&lt;0.1,"*","NS")))</f>
        <v>**</v>
      </c>
      <c r="L117" s="4">
        <v>12.777752932910539</v>
      </c>
      <c r="M117" s="4">
        <v>-5.5993264526263138</v>
      </c>
      <c r="N117" s="1988" t="str">
        <f>IF(       0.001&lt;0.01,"***",IF(       0.001&lt;0.05,"**",IF(       0.001&lt;0.1,"*","NS")))</f>
        <v>***</v>
      </c>
      <c r="P117" s="296" t="s">
        <v>5168</v>
      </c>
      <c r="Q117" s="4">
        <v>16.38023639703167</v>
      </c>
      <c r="R117" s="4">
        <v>12.777752932910539</v>
      </c>
      <c r="S117" s="4">
        <v>-3.6024834641211485</v>
      </c>
      <c r="T117" s="1989" t="str">
        <f>IF(       0.023&lt;0.01,"***",IF(       0.023&lt;0.05,"**",IF(       0.023&lt;0.1,"*","NS")))</f>
        <v>**</v>
      </c>
    </row>
    <row r="118" spans="1:20" x14ac:dyDescent="0.2">
      <c r="A118" s="296" t="s">
        <v>5083</v>
      </c>
      <c r="B118" s="4">
        <v>26.763610902029939</v>
      </c>
      <c r="C118" s="4">
        <v>22.136161086408158</v>
      </c>
      <c r="D118" s="4">
        <v>-4.6274498156217492</v>
      </c>
      <c r="E118" s="1990" t="str">
        <f>IF(       0&lt;0.01,"***",IF(       0&lt;0.05,"**",IF(       0&lt;0.1,"*","NS")))</f>
        <v>***</v>
      </c>
      <c r="G118" s="296" t="s">
        <v>5123</v>
      </c>
      <c r="H118" s="4">
        <v>26.763610902029939</v>
      </c>
      <c r="I118" s="4">
        <v>22.531166196791801</v>
      </c>
      <c r="J118" s="4">
        <v>-4.2324447052381364</v>
      </c>
      <c r="K118" s="1991" t="str">
        <f>IF(       0.001&lt;0.01,"***",IF(       0.001&lt;0.05,"**",IF(       0.001&lt;0.1,"*","NS")))</f>
        <v>***</v>
      </c>
      <c r="L118" s="4">
        <v>21.46629468124441</v>
      </c>
      <c r="M118" s="4">
        <v>-5.2973162207855289</v>
      </c>
      <c r="N118" s="1992" t="str">
        <f>IF(       0&lt;0.01,"***",IF(       0&lt;0.05,"**",IF(       0&lt;0.1,"*","NS")))</f>
        <v>***</v>
      </c>
      <c r="P118" s="296" t="s">
        <v>5169</v>
      </c>
      <c r="Q118" s="4">
        <v>24.221750182366041</v>
      </c>
      <c r="R118" s="4">
        <v>21.46629468124441</v>
      </c>
      <c r="S118" s="4">
        <v>-2.75545550112163</v>
      </c>
      <c r="T118" s="1993" t="str">
        <f>IF(       0.013&lt;0.01,"***",IF(       0.013&lt;0.05,"**",IF(       0.013&lt;0.1,"*","NS")))</f>
        <v>**</v>
      </c>
    </row>
    <row r="119" spans="1:20" x14ac:dyDescent="0.2">
      <c r="A119" s="296" t="s">
        <v>5084</v>
      </c>
      <c r="B119" s="4">
        <v>18.039946504517779</v>
      </c>
      <c r="C119" s="4">
        <v>14.48524129729468</v>
      </c>
      <c r="D119" s="4">
        <v>-3.5547052072231073</v>
      </c>
      <c r="E119" s="1994" t="str">
        <f>IF(       0.051&lt;0.01,"***",IF(       0.051&lt;0.05,"**",IF(       0.051&lt;0.1,"*","NS")))</f>
        <v>*</v>
      </c>
      <c r="G119" s="296" t="s">
        <v>5124</v>
      </c>
      <c r="H119" s="4">
        <v>18.039946504517779</v>
      </c>
      <c r="I119" s="4">
        <v>15.423183313623509</v>
      </c>
      <c r="J119" s="4">
        <v>-2.6167631908942828</v>
      </c>
      <c r="K119" s="1995" t="str">
        <f>IF(       0.088&lt;0.01,"***",IF(       0.088&lt;0.05,"**",IF(       0.088&lt;0.1,"*","NS")))</f>
        <v>*</v>
      </c>
      <c r="L119" s="4">
        <v>12.37110037506296</v>
      </c>
      <c r="M119" s="4">
        <v>-5.6688461294548276</v>
      </c>
      <c r="N119" s="1996" t="str">
        <f>IF(       0.039&lt;0.01,"***",IF(       0.039&lt;0.05,"**",IF(       0.039&lt;0.1,"*","NS")))</f>
        <v>**</v>
      </c>
      <c r="P119" s="296" t="s">
        <v>5170</v>
      </c>
      <c r="Q119" s="4">
        <v>16.787292113396141</v>
      </c>
      <c r="R119" s="4">
        <v>12.37110037506296</v>
      </c>
      <c r="S119" s="4">
        <v>-4.4161917383332057</v>
      </c>
      <c r="T119" s="1997" t="str">
        <f>IF(       0.044&lt;0.01,"***",IF(       0.044&lt;0.05,"**",IF(       0.044&lt;0.1,"*","NS")))</f>
        <v>**</v>
      </c>
    </row>
    <row r="120" spans="1:20" x14ac:dyDescent="0.2">
      <c r="A120" s="296" t="s">
        <v>5085</v>
      </c>
      <c r="B120" s="4">
        <v>23.826833869041579</v>
      </c>
      <c r="C120" s="4">
        <v>18.345067116105941</v>
      </c>
      <c r="D120" s="4">
        <v>-5.4817667529356484</v>
      </c>
      <c r="E120" s="1998" t="str">
        <f>IF(       0&lt;0.01,"***",IF(       0&lt;0.05,"**",IF(       0&lt;0.1,"*","NS")))</f>
        <v>***</v>
      </c>
      <c r="G120" s="296" t="s">
        <v>5125</v>
      </c>
      <c r="H120" s="4">
        <v>23.826833869041579</v>
      </c>
      <c r="I120" s="4">
        <v>19.340870850918598</v>
      </c>
      <c r="J120" s="4">
        <v>-4.485963018122967</v>
      </c>
      <c r="K120" s="1999" t="str">
        <f>IF(       0.002&lt;0.01,"***",IF(       0.002&lt;0.05,"**",IF(       0.002&lt;0.1,"*","NS")))</f>
        <v>***</v>
      </c>
      <c r="L120" s="4">
        <v>16.025717181954018</v>
      </c>
      <c r="M120" s="4">
        <v>-7.8011166870875313</v>
      </c>
      <c r="N120" s="2000" t="str">
        <f>IF(       0&lt;0.01,"***",IF(       0&lt;0.05,"**",IF(       0&lt;0.1,"*","NS")))</f>
        <v>***</v>
      </c>
      <c r="P120" s="296" t="s">
        <v>5171</v>
      </c>
      <c r="Q120" s="4">
        <v>21.35966147915213</v>
      </c>
      <c r="R120" s="4">
        <v>16.025717181954018</v>
      </c>
      <c r="S120" s="4">
        <v>-5.3339442971980953</v>
      </c>
      <c r="T120" s="2001" t="str">
        <f>IF(       0.002&lt;0.01,"***",IF(       0.002&lt;0.05,"**",IF(       0.002&lt;0.1,"*","NS")))</f>
        <v>***</v>
      </c>
    </row>
    <row r="121" spans="1:20" x14ac:dyDescent="0.2">
      <c r="A121" s="296" t="s">
        <v>5086</v>
      </c>
      <c r="B121" s="4">
        <v>21.453003678140831</v>
      </c>
      <c r="C121" s="4">
        <v>23.184554407732151</v>
      </c>
      <c r="D121" s="4">
        <v>1.7315507295913213</v>
      </c>
      <c r="E121" s="2002" t="str">
        <f>IF(       0.295&lt;0.01,"***",IF(       0.295&lt;0.05,"**",IF(       0.295&lt;0.1,"*","NS")))</f>
        <v>NS</v>
      </c>
      <c r="G121" s="296" t="s">
        <v>5126</v>
      </c>
      <c r="H121" s="4">
        <v>21.453003678140831</v>
      </c>
      <c r="I121" s="4">
        <v>23.821895012781251</v>
      </c>
      <c r="J121" s="4">
        <v>2.3688913346404088</v>
      </c>
      <c r="K121" s="2003" t="str">
        <f>IF(       0.104&lt;0.01,"***",IF(       0.104&lt;0.05,"**",IF(       0.104&lt;0.1,"*","NS")))</f>
        <v>NS</v>
      </c>
      <c r="L121" s="4">
        <v>21.194062939764979</v>
      </c>
      <c r="M121" s="4">
        <v>-0.25894073837584619</v>
      </c>
      <c r="N121" s="2004" t="str">
        <f>IF(       0.934&lt;0.01,"***",IF(       0.934&lt;0.05,"**",IF(       0.934&lt;0.1,"*","NS")))</f>
        <v>NS</v>
      </c>
      <c r="P121" s="296" t="s">
        <v>5172</v>
      </c>
      <c r="Q121" s="4">
        <v>22.861239998006969</v>
      </c>
      <c r="R121" s="4">
        <v>21.194062939764979</v>
      </c>
      <c r="S121" s="4">
        <v>-1.6671770582419805</v>
      </c>
      <c r="T121" s="2005" t="str">
        <f>IF(       0.544&lt;0.01,"***",IF(       0.544&lt;0.05,"**",IF(       0.544&lt;0.1,"*","NS")))</f>
        <v>NS</v>
      </c>
    </row>
    <row r="122" spans="1:20" x14ac:dyDescent="0.2">
      <c r="A122" s="296" t="s">
        <v>5087</v>
      </c>
      <c r="B122" s="4">
        <v>26.99033804261234</v>
      </c>
      <c r="C122" s="4">
        <v>20.55002093252055</v>
      </c>
      <c r="D122" s="4">
        <v>-6.4403171100918364</v>
      </c>
      <c r="E122" s="2006" t="str">
        <f>IF(       0&lt;0.01,"***",IF(       0&lt;0.05,"**",IF(       0&lt;0.1,"*","NS")))</f>
        <v>***</v>
      </c>
      <c r="G122" s="296" t="s">
        <v>5127</v>
      </c>
      <c r="H122" s="4">
        <v>26.99033804261234</v>
      </c>
      <c r="I122" s="4">
        <v>22.356526703650459</v>
      </c>
      <c r="J122" s="4">
        <v>-4.6338113389618849</v>
      </c>
      <c r="K122" s="2007" t="str">
        <f>IF(       0.003&lt;0.01,"***",IF(       0.003&lt;0.05,"**",IF(       0.003&lt;0.1,"*","NS")))</f>
        <v>***</v>
      </c>
      <c r="L122" s="4">
        <v>16.777942408319529</v>
      </c>
      <c r="M122" s="4">
        <v>-10.212395634292808</v>
      </c>
      <c r="N122" s="2008" t="str">
        <f>IF(       0&lt;0.01,"***",IF(       0&lt;0.05,"**",IF(       0&lt;0.1,"*","NS")))</f>
        <v>***</v>
      </c>
      <c r="P122" s="296" t="s">
        <v>5173</v>
      </c>
      <c r="Q122" s="4">
        <v>24.322346428655521</v>
      </c>
      <c r="R122" s="4">
        <v>16.777942408319529</v>
      </c>
      <c r="S122" s="4">
        <v>-7.5444040203360343</v>
      </c>
      <c r="T122" s="2009" t="str">
        <f>IF(       0&lt;0.01,"***",IF(       0&lt;0.05,"**",IF(       0&lt;0.1,"*","NS")))</f>
        <v>***</v>
      </c>
    </row>
    <row r="123" spans="1:20" x14ac:dyDescent="0.2">
      <c r="A123" s="296" t="s">
        <v>5088</v>
      </c>
      <c r="B123" s="4" t="s">
        <v>6067</v>
      </c>
      <c r="C123" s="4" t="s">
        <v>6067</v>
      </c>
      <c r="D123" s="4" t="s">
        <v>6067</v>
      </c>
      <c r="E123" s="4" t="s">
        <v>6067</v>
      </c>
      <c r="G123" s="296" t="s">
        <v>5128</v>
      </c>
      <c r="H123" s="4" t="s">
        <v>6067</v>
      </c>
      <c r="I123" s="4" t="s">
        <v>6067</v>
      </c>
      <c r="J123" s="4" t="s">
        <v>6067</v>
      </c>
      <c r="K123" s="4" t="s">
        <v>6067</v>
      </c>
      <c r="L123" s="4" t="s">
        <v>6067</v>
      </c>
      <c r="M123" s="4" t="s">
        <v>6067</v>
      </c>
      <c r="N123" s="4" t="s">
        <v>6067</v>
      </c>
      <c r="P123" s="296" t="s">
        <v>5174</v>
      </c>
      <c r="Q123" s="4" t="s">
        <v>6067</v>
      </c>
      <c r="R123" s="4" t="s">
        <v>6067</v>
      </c>
      <c r="S123" s="4" t="s">
        <v>6067</v>
      </c>
      <c r="T123" s="4" t="s">
        <v>6067</v>
      </c>
    </row>
    <row r="124" spans="1:20" x14ac:dyDescent="0.2">
      <c r="A124" s="296" t="s">
        <v>5089</v>
      </c>
      <c r="B124" s="4">
        <v>7.7321574661454431</v>
      </c>
      <c r="C124" s="4">
        <v>5.4533368768284527</v>
      </c>
      <c r="D124" s="4">
        <v>-2.2788205893169962</v>
      </c>
      <c r="E124" s="2010" t="str">
        <f>IF(       0.075&lt;0.01,"***",IF(       0.075&lt;0.05,"**",IF(       0.075&lt;0.1,"*","NS")))</f>
        <v>*</v>
      </c>
      <c r="G124" s="296" t="s">
        <v>5129</v>
      </c>
      <c r="H124" s="4">
        <v>7.7321574661454431</v>
      </c>
      <c r="I124" s="4">
        <v>5.2130497302516057</v>
      </c>
      <c r="J124" s="4">
        <v>-2.5191077358938356</v>
      </c>
      <c r="K124" s="2011" t="str">
        <f>IF(       0.027&lt;0.01,"***",IF(       0.027&lt;0.05,"**",IF(       0.027&lt;0.1,"*","NS")))</f>
        <v>**</v>
      </c>
      <c r="L124" s="4">
        <v>6.0858584023871627</v>
      </c>
      <c r="M124" s="4">
        <v>-1.6462990637582791</v>
      </c>
      <c r="N124" s="2012" t="str">
        <f>IF(       0.387&lt;0.01,"***",IF(       0.387&lt;0.05,"**",IF(       0.387&lt;0.1,"*","NS")))</f>
        <v>NS</v>
      </c>
      <c r="P124" s="296" t="s">
        <v>5175</v>
      </c>
      <c r="Q124" s="4">
        <v>6.6887822755156048</v>
      </c>
      <c r="R124" s="4">
        <v>6.0858584023871627</v>
      </c>
      <c r="S124" s="4">
        <v>-0.60292387312844375</v>
      </c>
      <c r="T124" s="2013" t="str">
        <f>IF(       0.704&lt;0.01,"***",IF(       0.704&lt;0.05,"**",IF(       0.704&lt;0.1,"*","NS")))</f>
        <v>NS</v>
      </c>
    </row>
    <row r="125" spans="1:20" x14ac:dyDescent="0.2">
      <c r="A125" s="296" t="s">
        <v>5090</v>
      </c>
      <c r="B125" s="4">
        <v>23.909979380904939</v>
      </c>
      <c r="C125" s="4">
        <v>20.45386237322073</v>
      </c>
      <c r="D125" s="4">
        <v>-3.4561170076842318</v>
      </c>
      <c r="E125" s="2014" t="str">
        <f>IF(       0.025&lt;0.01,"***",IF(       0.025&lt;0.05,"**",IF(       0.025&lt;0.1,"*","NS")))</f>
        <v>**</v>
      </c>
      <c r="G125" s="296" t="s">
        <v>5130</v>
      </c>
      <c r="H125" s="4">
        <v>23.909979380904939</v>
      </c>
      <c r="I125" s="4">
        <v>22.051985467349439</v>
      </c>
      <c r="J125" s="4">
        <v>-1.8579939135554906</v>
      </c>
      <c r="K125" s="2015" t="str">
        <f>IF(       0.264&lt;0.01,"***",IF(       0.264&lt;0.05,"**",IF(       0.264&lt;0.1,"*","NS")))</f>
        <v>NS</v>
      </c>
      <c r="L125" s="4">
        <v>18.7259828447751</v>
      </c>
      <c r="M125" s="4">
        <v>-5.1839965361298326</v>
      </c>
      <c r="N125" s="2016" t="str">
        <f>IF(       0.001&lt;0.01,"***",IF(       0.001&lt;0.05,"**",IF(       0.001&lt;0.1,"*","NS")))</f>
        <v>***</v>
      </c>
      <c r="P125" s="296" t="s">
        <v>5176</v>
      </c>
      <c r="Q125" s="4">
        <v>22.670185769364291</v>
      </c>
      <c r="R125" s="4">
        <v>18.7259828447751</v>
      </c>
      <c r="S125" s="4">
        <v>-3.9442029245891992</v>
      </c>
      <c r="T125" s="2017" t="str">
        <f>IF(       0&lt;0.01,"***",IF(       0&lt;0.05,"**",IF(       0&lt;0.1,"*","NS")))</f>
        <v>***</v>
      </c>
    </row>
    <row r="126" spans="1:20" x14ac:dyDescent="0.2">
      <c r="A126" s="296" t="s">
        <v>5091</v>
      </c>
      <c r="B126" s="4">
        <v>23.312731177764629</v>
      </c>
      <c r="C126" s="4">
        <v>18.79875395675376</v>
      </c>
      <c r="D126" s="4">
        <v>-4.5139772210108937</v>
      </c>
      <c r="E126" s="2018" t="str">
        <f>IF(       0.001&lt;0.01,"***",IF(       0.001&lt;0.05,"**",IF(       0.001&lt;0.1,"*","NS")))</f>
        <v>***</v>
      </c>
      <c r="G126" s="296" t="s">
        <v>5131</v>
      </c>
      <c r="H126" s="4">
        <v>23.312731177764629</v>
      </c>
      <c r="I126" s="4">
        <v>21.051428811142141</v>
      </c>
      <c r="J126" s="4">
        <v>-2.2613023666224881</v>
      </c>
      <c r="K126" s="2019" t="str">
        <f>IF(       0.1&lt;0.01,"***",IF(       0.1&lt;0.05,"**",IF(       0.1&lt;0.1,"*","NS")))</f>
        <v>NS</v>
      </c>
      <c r="L126" s="4">
        <v>14.96015856407559</v>
      </c>
      <c r="M126" s="4">
        <v>-8.3525726136890555</v>
      </c>
      <c r="N126" s="2020" t="str">
        <f>IF(       0&lt;0.01,"***",IF(       0&lt;0.05,"**",IF(       0&lt;0.1,"*","NS")))</f>
        <v>***</v>
      </c>
      <c r="P126" s="296" t="s">
        <v>5177</v>
      </c>
      <c r="Q126" s="4">
        <v>21.809268625034509</v>
      </c>
      <c r="R126" s="4">
        <v>14.96015856407559</v>
      </c>
      <c r="S126" s="4">
        <v>-6.8491100609589273</v>
      </c>
      <c r="T126" s="2021" t="str">
        <f>IF(       0&lt;0.01,"***",IF(       0&lt;0.05,"**",IF(       0&lt;0.1,"*","NS")))</f>
        <v>***</v>
      </c>
    </row>
    <row r="127" spans="1:20" x14ac:dyDescent="0.2">
      <c r="A127" s="296" t="s">
        <v>5092</v>
      </c>
      <c r="B127" s="4">
        <v>31.198158524926502</v>
      </c>
      <c r="C127" s="4">
        <v>24.14403400674523</v>
      </c>
      <c r="D127" s="4">
        <v>-7.0541245181812542</v>
      </c>
      <c r="E127" s="2022" t="str">
        <f>IF(       0&lt;0.01,"***",IF(       0&lt;0.05,"**",IF(       0&lt;0.1,"*","NS")))</f>
        <v>***</v>
      </c>
      <c r="G127" s="296" t="s">
        <v>5132</v>
      </c>
      <c r="H127" s="4">
        <v>31.198158524926502</v>
      </c>
      <c r="I127" s="4">
        <v>25.524917961440732</v>
      </c>
      <c r="J127" s="4">
        <v>-5.673240563485777</v>
      </c>
      <c r="K127" s="2023" t="str">
        <f>IF(       0&lt;0.01,"***",IF(       0&lt;0.05,"**",IF(       0&lt;0.1,"*","NS")))</f>
        <v>***</v>
      </c>
      <c r="L127" s="4">
        <v>21.373104018232471</v>
      </c>
      <c r="M127" s="4">
        <v>-9.8250545066940589</v>
      </c>
      <c r="N127" s="2024" t="str">
        <f>IF(       0&lt;0.01,"***",IF(       0&lt;0.05,"**",IF(       0&lt;0.1,"*","NS")))</f>
        <v>***</v>
      </c>
      <c r="P127" s="296" t="s">
        <v>5178</v>
      </c>
      <c r="Q127" s="4">
        <v>27.91320326459585</v>
      </c>
      <c r="R127" s="4">
        <v>21.373104018232471</v>
      </c>
      <c r="S127" s="4">
        <v>-6.5400992463633845</v>
      </c>
      <c r="T127" s="2025" t="str">
        <f>IF(       0&lt;0.01,"***",IF(       0&lt;0.05,"**",IF(       0&lt;0.1,"*","NS")))</f>
        <v>***</v>
      </c>
    </row>
    <row r="128" spans="1:20" x14ac:dyDescent="0.2">
      <c r="A128" s="296" t="s">
        <v>5093</v>
      </c>
      <c r="B128" s="4">
        <v>36.000684468629807</v>
      </c>
      <c r="C128" s="4">
        <v>27.01254959540746</v>
      </c>
      <c r="D128" s="4">
        <v>-8.9881348732223341</v>
      </c>
      <c r="E128" s="2026" t="str">
        <f>IF(       0&lt;0.01,"***",IF(       0&lt;0.05,"**",IF(       0&lt;0.1,"*","NS")))</f>
        <v>***</v>
      </c>
      <c r="G128" s="296" t="s">
        <v>5133</v>
      </c>
      <c r="H128" s="4">
        <v>36.000684468629807</v>
      </c>
      <c r="I128" s="4">
        <v>28.778090627687931</v>
      </c>
      <c r="J128" s="4">
        <v>-7.2225938409418884</v>
      </c>
      <c r="K128" s="2027" t="str">
        <f>IF(       0&lt;0.01,"***",IF(       0&lt;0.05,"**",IF(       0&lt;0.1,"*","NS")))</f>
        <v>***</v>
      </c>
      <c r="L128" s="4">
        <v>23.76753727857691</v>
      </c>
      <c r="M128" s="4">
        <v>-12.233147190052893</v>
      </c>
      <c r="N128" s="2028" t="str">
        <f>IF(       0&lt;0.01,"***",IF(       0&lt;0.05,"**",IF(       0&lt;0.1,"*","NS")))</f>
        <v>***</v>
      </c>
      <c r="P128" s="296" t="s">
        <v>5179</v>
      </c>
      <c r="Q128" s="4">
        <v>31.943966060349741</v>
      </c>
      <c r="R128" s="4">
        <v>23.76753727857691</v>
      </c>
      <c r="S128" s="4">
        <v>-8.1764287817728327</v>
      </c>
      <c r="T128" s="2029" t="str">
        <f>IF(       0&lt;0.01,"***",IF(       0&lt;0.05,"**",IF(       0&lt;0.1,"*","NS")))</f>
        <v>***</v>
      </c>
    </row>
    <row r="129" spans="1:20" x14ac:dyDescent="0.2">
      <c r="A129" s="296" t="s">
        <v>5094</v>
      </c>
      <c r="B129" s="4">
        <v>25.914620703671559</v>
      </c>
      <c r="C129" s="4">
        <v>22.113569725111621</v>
      </c>
      <c r="D129" s="4">
        <v>-3.8010509785599305</v>
      </c>
      <c r="E129" s="2030" t="str">
        <f>IF(       0.002&lt;0.01,"***",IF(       0.002&lt;0.05,"**",IF(       0.002&lt;0.1,"*","NS")))</f>
        <v>***</v>
      </c>
      <c r="G129" s="296" t="s">
        <v>5134</v>
      </c>
      <c r="H129" s="4">
        <v>25.914620703671559</v>
      </c>
      <c r="I129" s="4">
        <v>23.22794754322523</v>
      </c>
      <c r="J129" s="4">
        <v>-2.6866731604463268</v>
      </c>
      <c r="K129" s="2031" t="str">
        <f>IF(       0.021&lt;0.01,"***",IF(       0.021&lt;0.05,"**",IF(       0.021&lt;0.1,"*","NS")))</f>
        <v>**</v>
      </c>
      <c r="L129" s="4">
        <v>19.258467876901729</v>
      </c>
      <c r="M129" s="4">
        <v>-6.6561528267698256</v>
      </c>
      <c r="N129" s="2032" t="str">
        <f>IF(       0.001&lt;0.01,"***",IF(       0.001&lt;0.05,"**",IF(       0.001&lt;0.1,"*","NS")))</f>
        <v>***</v>
      </c>
      <c r="P129" s="296" t="s">
        <v>5180</v>
      </c>
      <c r="Q129" s="4">
        <v>24.495084890349979</v>
      </c>
      <c r="R129" s="4">
        <v>19.258467876901729</v>
      </c>
      <c r="S129" s="4">
        <v>-5.2366170134482619</v>
      </c>
      <c r="T129" s="2033" t="str">
        <f>IF(       0.002&lt;0.01,"***",IF(       0.002&lt;0.05,"**",IF(       0.002&lt;0.1,"*","NS")))</f>
        <v>***</v>
      </c>
    </row>
    <row r="130" spans="1:20" x14ac:dyDescent="0.2">
      <c r="A130" s="296" t="s">
        <v>5095</v>
      </c>
      <c r="B130" s="4">
        <v>26.226964070300049</v>
      </c>
      <c r="C130" s="4">
        <v>21.33430364689551</v>
      </c>
      <c r="D130" s="4">
        <v>-4.8926604234045623</v>
      </c>
      <c r="E130" s="2034" t="str">
        <f>IF(       0&lt;0.01,"***",IF(       0&lt;0.05,"**",IF(       0&lt;0.1,"*","NS")))</f>
        <v>***</v>
      </c>
      <c r="G130" s="296" t="s">
        <v>5135</v>
      </c>
      <c r="H130" s="4">
        <v>26.226964070300049</v>
      </c>
      <c r="I130" s="4">
        <v>22.248916042287419</v>
      </c>
      <c r="J130" s="4">
        <v>-3.9780480280126187</v>
      </c>
      <c r="K130" s="2035" t="str">
        <f>IF(       0.011&lt;0.01,"***",IF(       0.011&lt;0.05,"**",IF(       0.011&lt;0.1,"*","NS")))</f>
        <v>**</v>
      </c>
      <c r="L130" s="4">
        <v>20.223534643862969</v>
      </c>
      <c r="M130" s="4">
        <v>-6.0034294264370818</v>
      </c>
      <c r="N130" s="2036" t="str">
        <f>IF(       0&lt;0.01,"***",IF(       0&lt;0.05,"**",IF(       0&lt;0.1,"*","NS")))</f>
        <v>***</v>
      </c>
      <c r="P130" s="296" t="s">
        <v>5181</v>
      </c>
      <c r="Q130" s="4">
        <v>23.684621275255878</v>
      </c>
      <c r="R130" s="4">
        <v>20.223534643862969</v>
      </c>
      <c r="S130" s="4">
        <v>-3.4610866313929174</v>
      </c>
      <c r="T130" s="2037" t="str">
        <f>IF(       0.004&lt;0.01,"***",IF(       0.004&lt;0.05,"**",IF(       0.004&lt;0.1,"*","NS")))</f>
        <v>***</v>
      </c>
    </row>
    <row r="131" spans="1:20" x14ac:dyDescent="0.2">
      <c r="A131" s="296" t="s">
        <v>5096</v>
      </c>
      <c r="B131" s="4">
        <v>19.891443869621</v>
      </c>
      <c r="C131" s="4">
        <v>15.300157356495721</v>
      </c>
      <c r="D131" s="4">
        <v>-4.5912865131252882</v>
      </c>
      <c r="E131" s="2038" t="str">
        <f>IF(       0.001&lt;0.01,"***",IF(       0.001&lt;0.05,"**",IF(       0.001&lt;0.1,"*","NS")))</f>
        <v>***</v>
      </c>
      <c r="G131" s="296" t="s">
        <v>5136</v>
      </c>
      <c r="H131" s="4">
        <v>19.891443869621</v>
      </c>
      <c r="I131" s="4">
        <v>16.077186366474741</v>
      </c>
      <c r="J131" s="4">
        <v>-3.8142575031462678</v>
      </c>
      <c r="K131" s="2039" t="str">
        <f>IF(       0.012&lt;0.01,"***",IF(       0.012&lt;0.05,"**",IF(       0.012&lt;0.1,"*","NS")))</f>
        <v>**</v>
      </c>
      <c r="L131" s="4">
        <v>13.75667849418311</v>
      </c>
      <c r="M131" s="4">
        <v>-6.1347653754378761</v>
      </c>
      <c r="N131" s="2040" t="str">
        <f>IF(       0&lt;0.01,"***",IF(       0&lt;0.05,"**",IF(       0&lt;0.1,"*","NS")))</f>
        <v>***</v>
      </c>
      <c r="P131" s="296" t="s">
        <v>5182</v>
      </c>
      <c r="Q131" s="4">
        <v>17.86210466773537</v>
      </c>
      <c r="R131" s="4">
        <v>13.75667849418311</v>
      </c>
      <c r="S131" s="4">
        <v>-4.1054261735522477</v>
      </c>
      <c r="T131" s="2041" t="str">
        <f>IF(       0.001&lt;0.01,"***",IF(       0.001&lt;0.05,"**",IF(       0.001&lt;0.1,"*","NS")))</f>
        <v>***</v>
      </c>
    </row>
    <row r="132" spans="1:20" x14ac:dyDescent="0.2">
      <c r="A132" s="296" t="s">
        <v>5835</v>
      </c>
      <c r="B132" s="4">
        <v>25.918129352621062</v>
      </c>
      <c r="C132" s="4">
        <v>20.919475928998001</v>
      </c>
      <c r="D132" s="4">
        <v>-4.9986534236231428</v>
      </c>
      <c r="E132" s="2042" t="str">
        <f>IF(       0&lt;0.01,"***",IF(       0&lt;0.05,"**",IF(       0&lt;0.1,"*","NS")))</f>
        <v>***</v>
      </c>
      <c r="G132" s="296" t="s">
        <v>5835</v>
      </c>
      <c r="H132" s="4">
        <v>25.918129352621062</v>
      </c>
      <c r="I132" s="4">
        <v>22.130311057928239</v>
      </c>
      <c r="J132" s="4">
        <v>-3.7878182946928463</v>
      </c>
      <c r="K132" s="2043" t="str">
        <f>IF(       0&lt;0.01,"***",IF(       0&lt;0.05,"**",IF(       0&lt;0.1,"*","NS")))</f>
        <v>***</v>
      </c>
      <c r="L132" s="4">
        <v>18.602801798636509</v>
      </c>
      <c r="M132" s="4">
        <v>-7.3153275539845275</v>
      </c>
      <c r="N132" s="2044" t="str">
        <f>IF(       0&lt;0.01,"***",IF(       0&lt;0.05,"**",IF(       0&lt;0.1,"*","NS")))</f>
        <v>***</v>
      </c>
      <c r="P132" s="296" t="s">
        <v>5835</v>
      </c>
      <c r="Q132" s="4">
        <v>23.76697158415805</v>
      </c>
      <c r="R132" s="4">
        <v>18.602801798636509</v>
      </c>
      <c r="S132" s="4">
        <v>-5.1641697855216124</v>
      </c>
      <c r="T132" s="2045" t="str">
        <f>IF(       0&lt;0.01,"***",IF(       0&lt;0.05,"**",IF(       0&lt;0.1,"*","NS")))</f>
        <v>***</v>
      </c>
    </row>
  </sheetData>
  <pageMargins left="0.7" right="0.7" top="0.75" bottom="0.75" header="0.3" footer="0.3"/>
  <tableParts count="21">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132"/>
  <sheetViews>
    <sheetView zoomScaleNormal="100" workbookViewId="0">
      <selection activeCell="D14" sqref="D14"/>
    </sheetView>
  </sheetViews>
  <sheetFormatPr baseColWidth="10" defaultColWidth="8.83203125" defaultRowHeight="15" x14ac:dyDescent="0.2"/>
  <cols>
    <col min="1" max="1" width="9.33203125" style="296" customWidth="1"/>
    <col min="2" max="5" width="15.83203125" style="4" customWidth="1"/>
    <col min="6" max="6" width="8.83203125" style="4"/>
    <col min="7" max="7" width="15.83203125" style="296" customWidth="1"/>
    <col min="8" max="14" width="15.83203125" style="4" customWidth="1"/>
    <col min="15" max="15" width="8.83203125" style="4"/>
    <col min="16" max="16" width="15.83203125" style="296" customWidth="1"/>
    <col min="17" max="20" width="15.83203125" style="4" customWidth="1"/>
    <col min="21" max="16384" width="8.83203125" style="4"/>
  </cols>
  <sheetData>
    <row r="1" spans="1:20" x14ac:dyDescent="0.2">
      <c r="A1" s="296" t="s">
        <v>3269</v>
      </c>
      <c r="G1" s="296" t="s">
        <v>3373</v>
      </c>
      <c r="P1" s="296" t="s">
        <v>3492</v>
      </c>
    </row>
    <row r="2" spans="1:20" s="3" customFormat="1" x14ac:dyDescent="0.2">
      <c r="A2" s="5370" t="s">
        <v>3270</v>
      </c>
      <c r="B2" s="5371" t="s">
        <v>3271</v>
      </c>
      <c r="C2" s="5372" t="s">
        <v>3272</v>
      </c>
      <c r="D2" s="5373" t="s">
        <v>3273</v>
      </c>
      <c r="E2" s="5374" t="s">
        <v>3274</v>
      </c>
      <c r="G2" s="5375" t="s">
        <v>3374</v>
      </c>
      <c r="H2" s="5376" t="s">
        <v>3375</v>
      </c>
      <c r="I2" s="5377" t="s">
        <v>3376</v>
      </c>
      <c r="J2" s="5378" t="s">
        <v>3377</v>
      </c>
      <c r="K2" s="5379" t="s">
        <v>3378</v>
      </c>
      <c r="L2" s="5380" t="s">
        <v>3477</v>
      </c>
      <c r="M2" s="5381" t="s">
        <v>3478</v>
      </c>
      <c r="N2" s="5382" t="s">
        <v>3479</v>
      </c>
      <c r="P2" s="5383" t="s">
        <v>3493</v>
      </c>
      <c r="Q2" s="5384" t="s">
        <v>3494</v>
      </c>
      <c r="R2" s="5385" t="s">
        <v>3495</v>
      </c>
      <c r="S2" s="5386" t="s">
        <v>3496</v>
      </c>
      <c r="T2" s="5387" t="s">
        <v>3497</v>
      </c>
    </row>
    <row r="3" spans="1:20" x14ac:dyDescent="0.2">
      <c r="A3" s="296" t="s">
        <v>3275</v>
      </c>
      <c r="B3" s="4">
        <v>65.541081606618093</v>
      </c>
      <c r="C3" s="4">
        <v>53.544869761974986</v>
      </c>
      <c r="D3" s="4">
        <v>-11.996211844643016</v>
      </c>
      <c r="E3" s="1278" t="str">
        <f>IF(       0&lt;0.01,"***",IF(       0&lt;0.05,"**",IF(       0&lt;0.1,"*","NS")))</f>
        <v>***</v>
      </c>
      <c r="G3" s="296" t="s">
        <v>3379</v>
      </c>
      <c r="H3" s="4">
        <v>65.541081606618093</v>
      </c>
      <c r="I3" s="4">
        <v>55.686739514188282</v>
      </c>
      <c r="J3" s="4">
        <v>-9.8543420924298513</v>
      </c>
      <c r="K3" s="1279" t="str">
        <f>IF(       0&lt;0.01,"***",IF(       0&lt;0.05,"**",IF(       0&lt;0.1,"*","NS")))</f>
        <v>***</v>
      </c>
      <c r="L3" s="4">
        <v>45.189719450433387</v>
      </c>
      <c r="M3" s="4">
        <v>-20.351362156184972</v>
      </c>
      <c r="N3" s="1280" t="str">
        <f>IF(       0&lt;0.01,"***",IF(       0&lt;0.05,"**",IF(       0&lt;0.1,"*","NS")))</f>
        <v>***</v>
      </c>
      <c r="P3" s="296" t="s">
        <v>3498</v>
      </c>
      <c r="Q3" s="4">
        <v>62.012812887908289</v>
      </c>
      <c r="R3" s="4">
        <v>45.189719450433387</v>
      </c>
      <c r="S3" s="4">
        <v>-16.823093437475006</v>
      </c>
      <c r="T3" s="1281" t="str">
        <f>IF(       0&lt;0.01,"***",IF(       0&lt;0.05,"**",IF(       0&lt;0.1,"*","NS")))</f>
        <v>***</v>
      </c>
    </row>
    <row r="4" spans="1:20" x14ac:dyDescent="0.2">
      <c r="A4" s="296" t="s">
        <v>3276</v>
      </c>
      <c r="B4" s="4">
        <v>86.760401186104332</v>
      </c>
      <c r="C4" s="4">
        <v>77.198553798822644</v>
      </c>
      <c r="D4" s="4">
        <v>-9.5618473872816665</v>
      </c>
      <c r="E4" s="1282" t="str">
        <f>IF(       0&lt;0.01,"***",IF(       0&lt;0.05,"**",IF(       0&lt;0.1,"*","NS")))</f>
        <v>***</v>
      </c>
      <c r="G4" s="296" t="s">
        <v>3380</v>
      </c>
      <c r="H4" s="4">
        <v>86.760401186104332</v>
      </c>
      <c r="I4" s="4">
        <v>79.361539189607669</v>
      </c>
      <c r="J4" s="4">
        <v>-7.3988619964966125</v>
      </c>
      <c r="K4" s="1283" t="str">
        <f>IF(       0&lt;0.01,"***",IF(       0&lt;0.05,"**",IF(       0&lt;0.1,"*","NS")))</f>
        <v>***</v>
      </c>
      <c r="L4" s="4">
        <v>71.528674533535693</v>
      </c>
      <c r="M4" s="4">
        <v>-15.231726652568632</v>
      </c>
      <c r="N4" s="1284" t="str">
        <f>IF(       0&lt;0.01,"***",IF(       0&lt;0.05,"**",IF(       0&lt;0.1,"*","NS")))</f>
        <v>***</v>
      </c>
      <c r="P4" s="296" t="s">
        <v>3499</v>
      </c>
      <c r="Q4" s="4">
        <v>84.629878394403647</v>
      </c>
      <c r="R4" s="4">
        <v>71.528674533535693</v>
      </c>
      <c r="S4" s="4">
        <v>-13.101203860868221</v>
      </c>
      <c r="T4" s="1285" t="str">
        <f>IF(       0&lt;0.01,"***",IF(       0&lt;0.05,"**",IF(       0&lt;0.1,"*","NS")))</f>
        <v>***</v>
      </c>
    </row>
    <row r="5" spans="1:20" x14ac:dyDescent="0.2">
      <c r="A5" s="296" t="s">
        <v>3277</v>
      </c>
      <c r="B5" s="4">
        <v>73.429263590995021</v>
      </c>
      <c r="C5" s="4">
        <v>54.198639902672149</v>
      </c>
      <c r="D5" s="4">
        <v>-19.23062368832268</v>
      </c>
      <c r="E5" s="1286" t="str">
        <f>IF(       0&lt;0.01,"***",IF(       0&lt;0.05,"**",IF(       0&lt;0.1,"*","NS")))</f>
        <v>***</v>
      </c>
      <c r="G5" s="296" t="s">
        <v>3381</v>
      </c>
      <c r="H5" s="4">
        <v>73.429263590995021</v>
      </c>
      <c r="I5" s="4">
        <v>57.346187852935607</v>
      </c>
      <c r="J5" s="4">
        <v>-16.083075738059499</v>
      </c>
      <c r="K5" s="1287" t="str">
        <f>IF(       0&lt;0.01,"***",IF(       0&lt;0.05,"**",IF(       0&lt;0.1,"*","NS")))</f>
        <v>***</v>
      </c>
      <c r="L5" s="4">
        <v>44.713683493610951</v>
      </c>
      <c r="M5" s="4">
        <v>-28.715580097383484</v>
      </c>
      <c r="N5" s="1288" t="str">
        <f>IF(       0&lt;0.01,"***",IF(       0&lt;0.05,"**",IF(       0&lt;0.1,"*","NS")))</f>
        <v>***</v>
      </c>
      <c r="P5" s="296" t="s">
        <v>3500</v>
      </c>
      <c r="Q5" s="4">
        <v>69.620976633701872</v>
      </c>
      <c r="R5" s="4">
        <v>44.713683493610951</v>
      </c>
      <c r="S5" s="4">
        <v>-24.907293140090776</v>
      </c>
      <c r="T5" s="1289" t="str">
        <f>IF(       0&lt;0.01,"***",IF(       0&lt;0.05,"**",IF(       0&lt;0.1,"*","NS")))</f>
        <v>***</v>
      </c>
    </row>
    <row r="6" spans="1:20" x14ac:dyDescent="0.2">
      <c r="A6" s="296" t="s">
        <v>3278</v>
      </c>
      <c r="B6" s="4">
        <v>76.163359683630148</v>
      </c>
      <c r="C6" s="4">
        <v>66.749552553685135</v>
      </c>
      <c r="D6" s="4">
        <v>-9.4138071299449031</v>
      </c>
      <c r="E6" s="1290" t="str">
        <f>IF(       0.001&lt;0.01,"***",IF(       0.001&lt;0.05,"**",IF(       0.001&lt;0.1,"*","NS")))</f>
        <v>***</v>
      </c>
      <c r="G6" s="296" t="s">
        <v>3382</v>
      </c>
      <c r="H6" s="4">
        <v>76.163359683630148</v>
      </c>
      <c r="I6" s="4">
        <v>69.987929495011201</v>
      </c>
      <c r="J6" s="4">
        <v>-6.1754301886189191</v>
      </c>
      <c r="K6" s="1291" t="str">
        <f>IF(       0.015&lt;0.01,"***",IF(       0.015&lt;0.05,"**",IF(       0.015&lt;0.1,"*","NS")))</f>
        <v>**</v>
      </c>
      <c r="L6" s="4">
        <v>54.49250186159292</v>
      </c>
      <c r="M6" s="4">
        <v>-21.670857822037554</v>
      </c>
      <c r="N6" s="1292" t="str">
        <f>IF(       0&lt;0.01,"***",IF(       0&lt;0.05,"**",IF(       0&lt;0.1,"*","NS")))</f>
        <v>***</v>
      </c>
      <c r="P6" s="296" t="s">
        <v>3501</v>
      </c>
      <c r="Q6" s="4">
        <v>74.355079544273764</v>
      </c>
      <c r="R6" s="4">
        <v>54.49250186159292</v>
      </c>
      <c r="S6" s="4">
        <v>-19.862577682681213</v>
      </c>
      <c r="T6" s="1293" t="str">
        <f>IF(       0&lt;0.01,"***",IF(       0&lt;0.05,"**",IF(       0&lt;0.1,"*","NS")))</f>
        <v>***</v>
      </c>
    </row>
    <row r="7" spans="1:20" x14ac:dyDescent="0.2">
      <c r="A7" s="296" t="s">
        <v>3279</v>
      </c>
      <c r="B7" s="4">
        <v>73.776940054163234</v>
      </c>
      <c r="C7" s="4">
        <v>74.258106973257966</v>
      </c>
      <c r="D7" s="4">
        <v>0.48116691909469783</v>
      </c>
      <c r="E7" s="1294" t="str">
        <f>IF(       0.873&lt;0.01,"***",IF(       0.873&lt;0.05,"**",IF(       0.873&lt;0.1,"*","NS")))</f>
        <v>NS</v>
      </c>
      <c r="G7" s="296" t="s">
        <v>3383</v>
      </c>
      <c r="H7" s="4">
        <v>73.776940054163234</v>
      </c>
      <c r="I7" s="4">
        <v>76.168863478386186</v>
      </c>
      <c r="J7" s="4">
        <v>2.3919234242229024</v>
      </c>
      <c r="K7" s="1295" t="str">
        <f>IF(       0.413&lt;0.01,"***",IF(       0.413&lt;0.05,"**",IF(       0.413&lt;0.1,"*","NS")))</f>
        <v>NS</v>
      </c>
      <c r="L7" s="4">
        <v>65.212090331903738</v>
      </c>
      <c r="M7" s="4">
        <v>-8.5648497222594528</v>
      </c>
      <c r="N7" s="1296" t="str">
        <f>IF(       0.174&lt;0.01,"***",IF(       0.174&lt;0.05,"**",IF(       0.174&lt;0.1,"*","NS")))</f>
        <v>NS</v>
      </c>
      <c r="P7" s="296" t="s">
        <v>3502</v>
      </c>
      <c r="Q7" s="4">
        <v>74.40885728503865</v>
      </c>
      <c r="R7" s="4">
        <v>65.212090331903738</v>
      </c>
      <c r="S7" s="4">
        <v>-9.1967669531351337</v>
      </c>
      <c r="T7" s="1297" t="str">
        <f>IF(       0.13&lt;0.01,"***",IF(       0.13&lt;0.05,"**",IF(       0.13&lt;0.1,"*","NS")))</f>
        <v>NS</v>
      </c>
    </row>
    <row r="8" spans="1:20" x14ac:dyDescent="0.2">
      <c r="A8" s="296" t="s">
        <v>3280</v>
      </c>
      <c r="B8" s="4">
        <v>82.113424420907634</v>
      </c>
      <c r="C8" s="4">
        <v>69.699216834476132</v>
      </c>
      <c r="D8" s="4">
        <v>-12.414207586431267</v>
      </c>
      <c r="E8" s="1298" t="str">
        <f>IF(       0&lt;0.01,"***",IF(       0&lt;0.05,"**",IF(       0&lt;0.1,"*","NS")))</f>
        <v>***</v>
      </c>
      <c r="G8" s="296" t="s">
        <v>3384</v>
      </c>
      <c r="H8" s="4">
        <v>82.113424420907634</v>
      </c>
      <c r="I8" s="4">
        <v>72.007342111563545</v>
      </c>
      <c r="J8" s="4">
        <v>-10.106082309344194</v>
      </c>
      <c r="K8" s="1299" t="str">
        <f>IF(       0&lt;0.01,"***",IF(       0&lt;0.05,"**",IF(       0&lt;0.1,"*","NS")))</f>
        <v>***</v>
      </c>
      <c r="L8" s="4">
        <v>62.450086612790351</v>
      </c>
      <c r="M8" s="4">
        <v>-19.663337808117419</v>
      </c>
      <c r="N8" s="1300" t="str">
        <f>IF(       0&lt;0.01,"***",IF(       0&lt;0.05,"**",IF(       0&lt;0.1,"*","NS")))</f>
        <v>***</v>
      </c>
      <c r="P8" s="296" t="s">
        <v>3503</v>
      </c>
      <c r="Q8" s="4">
        <v>79.283139048465287</v>
      </c>
      <c r="R8" s="4">
        <v>62.450086612790351</v>
      </c>
      <c r="S8" s="4">
        <v>-16.833052435674556</v>
      </c>
      <c r="T8" s="1301" t="str">
        <f>IF(       0&lt;0.01,"***",IF(       0&lt;0.05,"**",IF(       0&lt;0.1,"*","NS")))</f>
        <v>***</v>
      </c>
    </row>
    <row r="9" spans="1:20" x14ac:dyDescent="0.2">
      <c r="A9" s="296" t="s">
        <v>3281</v>
      </c>
      <c r="B9" s="4">
        <v>97.851773611765054</v>
      </c>
      <c r="C9" s="4">
        <v>97.916288345915774</v>
      </c>
      <c r="D9" s="4">
        <v>6.4514734150719275E-2</v>
      </c>
      <c r="E9" s="1302" t="str">
        <f>IF(       0.92&lt;0.01,"***",IF(       0.92&lt;0.05,"**",IF(       0.92&lt;0.1,"*","NS")))</f>
        <v>NS</v>
      </c>
      <c r="G9" s="296" t="s">
        <v>3385</v>
      </c>
      <c r="H9" s="4">
        <v>97.851773611765054</v>
      </c>
      <c r="I9" s="4">
        <v>97.46645968268551</v>
      </c>
      <c r="J9" s="4">
        <v>-0.38531392907952633</v>
      </c>
      <c r="K9" s="1303" t="str">
        <f>IF(       0.627&lt;0.01,"***",IF(       0.627&lt;0.05,"**",IF(       0.627&lt;0.1,"*","NS")))</f>
        <v>NS</v>
      </c>
      <c r="L9" s="4">
        <v>100</v>
      </c>
      <c r="M9" s="4">
        <v>2.1482263882350092</v>
      </c>
      <c r="N9" s="1304" t="str">
        <f>IF(       0&lt;0.01,"***",IF(       0&lt;0.05,"**",IF(       0&lt;0.1,"*","NS")))</f>
        <v>***</v>
      </c>
      <c r="P9" s="296" t="s">
        <v>3504</v>
      </c>
      <c r="Q9" s="4">
        <v>97.794641854249534</v>
      </c>
      <c r="R9" s="4">
        <v>100</v>
      </c>
      <c r="S9" s="4">
        <v>2.2053581457505107</v>
      </c>
      <c r="T9" s="1305" t="str">
        <f>IF(       0&lt;0.01,"***",IF(       0&lt;0.05,"**",IF(       0&lt;0.1,"*","NS")))</f>
        <v>***</v>
      </c>
    </row>
    <row r="10" spans="1:20" x14ac:dyDescent="0.2">
      <c r="A10" s="296" t="s">
        <v>3282</v>
      </c>
      <c r="B10" s="4">
        <v>42.77540950175139</v>
      </c>
      <c r="C10" s="4">
        <v>27.70118699786611</v>
      </c>
      <c r="D10" s="4">
        <v>-15.074222503885467</v>
      </c>
      <c r="E10" s="1306" t="str">
        <f>IF(       0.001&lt;0.01,"***",IF(       0.001&lt;0.05,"**",IF(       0.001&lt;0.1,"*","NS")))</f>
        <v>***</v>
      </c>
      <c r="G10" s="296" t="s">
        <v>3386</v>
      </c>
      <c r="H10" s="4">
        <v>42.77540950175139</v>
      </c>
      <c r="I10" s="4">
        <v>28.35093418304108</v>
      </c>
      <c r="J10" s="4">
        <v>-14.424475318710641</v>
      </c>
      <c r="K10" s="1307" t="str">
        <f>IF(       0.001&lt;0.01,"***",IF(       0.001&lt;0.05,"**",IF(       0.001&lt;0.1,"*","NS")))</f>
        <v>***</v>
      </c>
      <c r="L10" s="4">
        <v>25.575121337044639</v>
      </c>
      <c r="M10" s="4">
        <v>-17.200288164706681</v>
      </c>
      <c r="N10" s="1308" t="str">
        <f>IF(       0.005&lt;0.01,"***",IF(       0.005&lt;0.05,"**",IF(       0.005&lt;0.1,"*","NS")))</f>
        <v>***</v>
      </c>
      <c r="P10" s="296" t="s">
        <v>3505</v>
      </c>
      <c r="Q10" s="4">
        <v>40.105180063646998</v>
      </c>
      <c r="R10" s="4">
        <v>25.575121337044639</v>
      </c>
      <c r="S10" s="4">
        <v>-14.530058726602533</v>
      </c>
      <c r="T10" s="1309" t="str">
        <f>IF(       0.01&lt;0.01,"***",IF(       0.01&lt;0.05,"**",IF(       0.01&lt;0.1,"*","NS")))</f>
        <v>**</v>
      </c>
    </row>
    <row r="11" spans="1:20" x14ac:dyDescent="0.2">
      <c r="A11" s="296" t="s">
        <v>3283</v>
      </c>
      <c r="B11" s="4">
        <v>83.529249589400393</v>
      </c>
      <c r="C11" s="4">
        <v>74.406574634315817</v>
      </c>
      <c r="D11" s="4">
        <v>-9.122674955084614</v>
      </c>
      <c r="E11" s="1310" t="str">
        <f>IF(       0&lt;0.01,"***",IF(       0&lt;0.05,"**",IF(       0&lt;0.1,"*","NS")))</f>
        <v>***</v>
      </c>
      <c r="G11" s="296" t="s">
        <v>3387</v>
      </c>
      <c r="H11" s="4">
        <v>83.529249589400393</v>
      </c>
      <c r="I11" s="4">
        <v>78.417249281333241</v>
      </c>
      <c r="J11" s="4">
        <v>-5.1120003080671976</v>
      </c>
      <c r="K11" s="1311" t="str">
        <f>IF(       0.039&lt;0.01,"***",IF(       0.039&lt;0.05,"**",IF(       0.039&lt;0.1,"*","NS")))</f>
        <v>**</v>
      </c>
      <c r="L11" s="4">
        <v>68.002643569969635</v>
      </c>
      <c r="M11" s="4">
        <v>-15.526606019430654</v>
      </c>
      <c r="N11" s="1312" t="str">
        <f>IF(       0&lt;0.01,"***",IF(       0&lt;0.05,"**",IF(       0&lt;0.1,"*","NS")))</f>
        <v>***</v>
      </c>
      <c r="P11" s="296" t="s">
        <v>3506</v>
      </c>
      <c r="Q11" s="4">
        <v>81.792116626499819</v>
      </c>
      <c r="R11" s="4">
        <v>68.002643569969635</v>
      </c>
      <c r="S11" s="4">
        <v>-13.789473056530134</v>
      </c>
      <c r="T11" s="1313" t="str">
        <f>IF(       0&lt;0.01,"***",IF(       0&lt;0.05,"**",IF(       0&lt;0.1,"*","NS")))</f>
        <v>***</v>
      </c>
    </row>
    <row r="12" spans="1:20" x14ac:dyDescent="0.2">
      <c r="A12" s="296" t="s">
        <v>3284</v>
      </c>
      <c r="B12" s="4">
        <v>67.959680222361357</v>
      </c>
      <c r="C12" s="4">
        <v>56.862774234779017</v>
      </c>
      <c r="D12" s="4">
        <v>-11.096905987582263</v>
      </c>
      <c r="E12" s="1314" t="str">
        <f>IF(       0&lt;0.01,"***",IF(       0&lt;0.05,"**",IF(       0&lt;0.1,"*","NS")))</f>
        <v>***</v>
      </c>
      <c r="G12" s="296" t="s">
        <v>3388</v>
      </c>
      <c r="H12" s="4">
        <v>67.959680222361357</v>
      </c>
      <c r="I12" s="4">
        <v>60.041821428853957</v>
      </c>
      <c r="J12" s="4">
        <v>-7.9178587935074294</v>
      </c>
      <c r="K12" s="1315" t="str">
        <f>IF(       0.001&lt;0.01,"***",IF(       0.001&lt;0.05,"**",IF(       0.001&lt;0.1,"*","NS")))</f>
        <v>***</v>
      </c>
      <c r="L12" s="4">
        <v>46.530778462272067</v>
      </c>
      <c r="M12" s="4">
        <v>-21.428901760089396</v>
      </c>
      <c r="N12" s="1316" t="str">
        <f>IF(       0&lt;0.01,"***",IF(       0&lt;0.05,"**",IF(       0&lt;0.1,"*","NS")))</f>
        <v>***</v>
      </c>
      <c r="P12" s="296" t="s">
        <v>3507</v>
      </c>
      <c r="Q12" s="4">
        <v>64.903813126382317</v>
      </c>
      <c r="R12" s="4">
        <v>46.530778462272067</v>
      </c>
      <c r="S12" s="4">
        <v>-18.373034664110573</v>
      </c>
      <c r="T12" s="1317" t="str">
        <f>IF(       0&lt;0.01,"***",IF(       0&lt;0.05,"**",IF(       0&lt;0.1,"*","NS")))</f>
        <v>***</v>
      </c>
    </row>
    <row r="13" spans="1:20" x14ac:dyDescent="0.2">
      <c r="A13" s="296" t="s">
        <v>3285</v>
      </c>
      <c r="B13" s="4">
        <v>90.404941897977409</v>
      </c>
      <c r="C13" s="4">
        <v>81.600290362056882</v>
      </c>
      <c r="D13" s="4">
        <v>-8.804651535920538</v>
      </c>
      <c r="E13" s="1318" t="str">
        <f>IF(       0&lt;0.01,"***",IF(       0&lt;0.05,"**",IF(       0&lt;0.1,"*","NS")))</f>
        <v>***</v>
      </c>
      <c r="G13" s="296" t="s">
        <v>3389</v>
      </c>
      <c r="H13" s="4">
        <v>90.404941897977409</v>
      </c>
      <c r="I13" s="4">
        <v>83.473211657816051</v>
      </c>
      <c r="J13" s="4">
        <v>-6.9317302401612526</v>
      </c>
      <c r="K13" s="1319" t="str">
        <f>IF(       0&lt;0.01,"***",IF(       0&lt;0.05,"**",IF(       0&lt;0.1,"*","NS")))</f>
        <v>***</v>
      </c>
      <c r="L13" s="4">
        <v>76.538177162429179</v>
      </c>
      <c r="M13" s="4">
        <v>-13.866764735548356</v>
      </c>
      <c r="N13" s="1320" t="str">
        <f>IF(       0&lt;0.01,"***",IF(       0&lt;0.05,"**",IF(       0&lt;0.1,"*","NS")))</f>
        <v>***</v>
      </c>
      <c r="P13" s="296" t="s">
        <v>3508</v>
      </c>
      <c r="Q13" s="4">
        <v>88.746334312085224</v>
      </c>
      <c r="R13" s="4">
        <v>76.538177162429179</v>
      </c>
      <c r="S13" s="4">
        <v>-12.208157149656163</v>
      </c>
      <c r="T13" s="1321" t="str">
        <f>IF(       0.001&lt;0.01,"***",IF(       0.001&lt;0.05,"**",IF(       0.001&lt;0.1,"*","NS")))</f>
        <v>***</v>
      </c>
    </row>
    <row r="14" spans="1:20" x14ac:dyDescent="0.2">
      <c r="A14" s="296" t="s">
        <v>3286</v>
      </c>
      <c r="B14" s="4">
        <v>92.737407172649355</v>
      </c>
      <c r="C14" s="4">
        <v>83.588546343346408</v>
      </c>
      <c r="D14" s="4">
        <v>-9.1488608293032065</v>
      </c>
      <c r="E14" s="1322" t="str">
        <f>IF(       0&lt;0.01,"***",IF(       0&lt;0.05,"**",IF(       0&lt;0.1,"*","NS")))</f>
        <v>***</v>
      </c>
      <c r="G14" s="296" t="s">
        <v>3390</v>
      </c>
      <c r="H14" s="4">
        <v>92.737407172649355</v>
      </c>
      <c r="I14" s="4">
        <v>87.273065288138866</v>
      </c>
      <c r="J14" s="4">
        <v>-5.4643418845103806</v>
      </c>
      <c r="K14" s="1323" t="str">
        <f>IF(       0&lt;0.01,"***",IF(       0&lt;0.05,"**",IF(       0&lt;0.1,"*","NS")))</f>
        <v>***</v>
      </c>
      <c r="L14" s="4">
        <v>72.733721860535283</v>
      </c>
      <c r="M14" s="4">
        <v>-20.003685312114609</v>
      </c>
      <c r="N14" s="1324" t="str">
        <f>IF(       0&lt;0.01,"***",IF(       0&lt;0.05,"**",IF(       0&lt;0.1,"*","NS")))</f>
        <v>***</v>
      </c>
      <c r="P14" s="296" t="s">
        <v>3509</v>
      </c>
      <c r="Q14" s="4">
        <v>91.551582385079868</v>
      </c>
      <c r="R14" s="4">
        <v>72.733721860535283</v>
      </c>
      <c r="S14" s="4">
        <v>-18.817860524544979</v>
      </c>
      <c r="T14" s="1325" t="str">
        <f>IF(       0&lt;0.01,"***",IF(       0&lt;0.05,"**",IF(       0&lt;0.1,"*","NS")))</f>
        <v>***</v>
      </c>
    </row>
    <row r="15" spans="1:20" x14ac:dyDescent="0.2">
      <c r="A15" s="296" t="s">
        <v>3287</v>
      </c>
      <c r="B15" s="4">
        <v>77.064206151191698</v>
      </c>
      <c r="C15" s="4">
        <v>67.658552579512829</v>
      </c>
      <c r="D15" s="4">
        <v>-9.4056535716786573</v>
      </c>
      <c r="E15" s="1326" t="str">
        <f>IF(       0&lt;0.01,"***",IF(       0&lt;0.05,"**",IF(       0&lt;0.1,"*","NS")))</f>
        <v>***</v>
      </c>
      <c r="G15" s="296" t="s">
        <v>3391</v>
      </c>
      <c r="H15" s="4">
        <v>77.064206151191698</v>
      </c>
      <c r="I15" s="4">
        <v>68.968755570343873</v>
      </c>
      <c r="J15" s="4">
        <v>-8.0954505808479311</v>
      </c>
      <c r="K15" s="1327" t="str">
        <f>IF(       0.003&lt;0.01,"***",IF(       0.003&lt;0.05,"**",IF(       0.003&lt;0.1,"*","NS")))</f>
        <v>***</v>
      </c>
      <c r="L15" s="4">
        <v>63.642135511077981</v>
      </c>
      <c r="M15" s="4">
        <v>-13.422070640113889</v>
      </c>
      <c r="N15" s="1328" t="str">
        <f>IF(       0.002&lt;0.01,"***",IF(       0.002&lt;0.05,"**",IF(       0.002&lt;0.1,"*","NS")))</f>
        <v>***</v>
      </c>
      <c r="P15" s="296" t="s">
        <v>3510</v>
      </c>
      <c r="Q15" s="4">
        <v>75.242819934004459</v>
      </c>
      <c r="R15" s="4">
        <v>63.642135511077981</v>
      </c>
      <c r="S15" s="4">
        <v>-11.600684422926383</v>
      </c>
      <c r="T15" s="1329" t="str">
        <f>IF(       0.006&lt;0.01,"***",IF(       0.006&lt;0.05,"**",IF(       0.006&lt;0.1,"*","NS")))</f>
        <v>***</v>
      </c>
    </row>
    <row r="16" spans="1:20" x14ac:dyDescent="0.2">
      <c r="A16" s="296" t="s">
        <v>3288</v>
      </c>
      <c r="B16" s="4">
        <v>83.12455787889796</v>
      </c>
      <c r="C16" s="4">
        <v>78.210151012486278</v>
      </c>
      <c r="D16" s="4">
        <v>-4.914406866411591</v>
      </c>
      <c r="E16" s="1330" t="str">
        <f>IF(       0.01&lt;0.01,"***",IF(       0.01&lt;0.05,"**",IF(       0.01&lt;0.1,"*","NS")))</f>
        <v>**</v>
      </c>
      <c r="G16" s="296" t="s">
        <v>3392</v>
      </c>
      <c r="H16" s="4">
        <v>83.12455787889796</v>
      </c>
      <c r="I16" s="4">
        <v>81.243257374643676</v>
      </c>
      <c r="J16" s="4">
        <v>-1.8813005042542941</v>
      </c>
      <c r="K16" s="1331" t="str">
        <f>IF(       0.353&lt;0.01,"***",IF(       0.353&lt;0.05,"**",IF(       0.353&lt;0.1,"*","NS")))</f>
        <v>NS</v>
      </c>
      <c r="L16" s="4">
        <v>71.496114083665745</v>
      </c>
      <c r="M16" s="4">
        <v>-11.628443795232116</v>
      </c>
      <c r="N16" s="1332" t="str">
        <f>IF(       0&lt;0.01,"***",IF(       0&lt;0.05,"**",IF(       0&lt;0.1,"*","NS")))</f>
        <v>***</v>
      </c>
      <c r="P16" s="296" t="s">
        <v>3511</v>
      </c>
      <c r="Q16" s="4">
        <v>82.50386761028372</v>
      </c>
      <c r="R16" s="4">
        <v>71.496114083665745</v>
      </c>
      <c r="S16" s="4">
        <v>-11.007753526617806</v>
      </c>
      <c r="T16" s="1333" t="str">
        <f>IF(       0&lt;0.01,"***",IF(       0&lt;0.05,"**",IF(       0&lt;0.1,"*","NS")))</f>
        <v>***</v>
      </c>
    </row>
    <row r="17" spans="1:20" x14ac:dyDescent="0.2">
      <c r="A17" s="296" t="s">
        <v>3289</v>
      </c>
      <c r="B17" s="4">
        <v>72.236340779084657</v>
      </c>
      <c r="C17" s="4">
        <v>57.665704293889931</v>
      </c>
      <c r="D17" s="4">
        <v>-14.57063648519456</v>
      </c>
      <c r="E17" s="1334" t="str">
        <f>IF(       0&lt;0.01,"***",IF(       0&lt;0.05,"**",IF(       0&lt;0.1,"*","NS")))</f>
        <v>***</v>
      </c>
      <c r="G17" s="296" t="s">
        <v>3393</v>
      </c>
      <c r="H17" s="4">
        <v>72.236340779084657</v>
      </c>
      <c r="I17" s="4">
        <v>59.779519855433293</v>
      </c>
      <c r="J17" s="4">
        <v>-12.456820923651465</v>
      </c>
      <c r="K17" s="1335" t="str">
        <f>IF(       0&lt;0.01,"***",IF(       0&lt;0.05,"**",IF(       0&lt;0.1,"*","NS")))</f>
        <v>***</v>
      </c>
      <c r="L17" s="4">
        <v>50.976978660225221</v>
      </c>
      <c r="M17" s="4">
        <v>-21.259362118859009</v>
      </c>
      <c r="N17" s="1336" t="str">
        <f>IF(       0&lt;0.01,"***",IF(       0&lt;0.05,"**",IF(       0&lt;0.1,"*","NS")))</f>
        <v>***</v>
      </c>
      <c r="P17" s="296" t="s">
        <v>3512</v>
      </c>
      <c r="Q17" s="4">
        <v>68.99829934424136</v>
      </c>
      <c r="R17" s="4">
        <v>50.976978660225221</v>
      </c>
      <c r="S17" s="4">
        <v>-18.021320684015897</v>
      </c>
      <c r="T17" s="1337" t="str">
        <f>IF(       0&lt;0.01,"***",IF(       0&lt;0.05,"**",IF(       0&lt;0.1,"*","NS")))</f>
        <v>***</v>
      </c>
    </row>
    <row r="18" spans="1:20" x14ac:dyDescent="0.2">
      <c r="A18" s="296" t="s">
        <v>5835</v>
      </c>
      <c r="B18" s="4">
        <v>81.295078343413437</v>
      </c>
      <c r="C18" s="4">
        <v>70.626611409857162</v>
      </c>
      <c r="D18" s="4">
        <v>-10.668466933556369</v>
      </c>
      <c r="E18" s="1338" t="str">
        <f>IF(       0&lt;0.01,"***",IF(       0&lt;0.05,"**",IF(       0&lt;0.1,"*","NS")))</f>
        <v>***</v>
      </c>
      <c r="G18" s="296" t="s">
        <v>5835</v>
      </c>
      <c r="H18" s="4">
        <v>81.295078343413437</v>
      </c>
      <c r="I18" s="4">
        <v>72.948610420784249</v>
      </c>
      <c r="J18" s="4">
        <v>-8.3464679226294916</v>
      </c>
      <c r="K18" s="1339" t="str">
        <f>IF(       0&lt;0.01,"***",IF(       0&lt;0.05,"**",IF(       0&lt;0.1,"*","NS")))</f>
        <v>***</v>
      </c>
      <c r="L18" s="4">
        <v>63.802837084782382</v>
      </c>
      <c r="M18" s="4">
        <v>-17.492241258630827</v>
      </c>
      <c r="N18" s="1340" t="str">
        <f>IF(       0&lt;0.01,"***",IF(       0&lt;0.05,"**",IF(       0&lt;0.1,"*","NS")))</f>
        <v>***</v>
      </c>
      <c r="P18" s="296" t="s">
        <v>5835</v>
      </c>
      <c r="Q18" s="4">
        <v>79.06559623154628</v>
      </c>
      <c r="R18" s="4">
        <v>63.802837084782382</v>
      </c>
      <c r="S18" s="4">
        <v>-15.262759146763923</v>
      </c>
      <c r="T18" s="1341" t="str">
        <f>IF(       0&lt;0.01,"***",IF(       0&lt;0.05,"**",IF(       0&lt;0.1,"*","NS")))</f>
        <v>***</v>
      </c>
    </row>
    <row r="20" spans="1:20" x14ac:dyDescent="0.2">
      <c r="A20" s="296" t="s">
        <v>3290</v>
      </c>
      <c r="G20" s="296" t="s">
        <v>3394</v>
      </c>
      <c r="P20" s="296" t="s">
        <v>3513</v>
      </c>
    </row>
    <row r="21" spans="1:20" s="3" customFormat="1" x14ac:dyDescent="0.2">
      <c r="A21" s="5388" t="s">
        <v>3291</v>
      </c>
      <c r="B21" s="5389" t="s">
        <v>3292</v>
      </c>
      <c r="C21" s="5390" t="s">
        <v>3293</v>
      </c>
      <c r="D21" s="5391" t="s">
        <v>3294</v>
      </c>
      <c r="E21" s="5392" t="s">
        <v>3295</v>
      </c>
      <c r="G21" s="5393" t="s">
        <v>3395</v>
      </c>
      <c r="H21" s="5394" t="s">
        <v>3396</v>
      </c>
      <c r="I21" s="5395" t="s">
        <v>3397</v>
      </c>
      <c r="J21" s="5396" t="s">
        <v>3398</v>
      </c>
      <c r="K21" s="5397" t="s">
        <v>3399</v>
      </c>
      <c r="L21" s="5398" t="s">
        <v>3480</v>
      </c>
      <c r="M21" s="5399" t="s">
        <v>3481</v>
      </c>
      <c r="N21" s="5400" t="s">
        <v>3482</v>
      </c>
      <c r="P21" s="5401" t="s">
        <v>3514</v>
      </c>
      <c r="Q21" s="5402" t="s">
        <v>3515</v>
      </c>
      <c r="R21" s="5403" t="s">
        <v>3516</v>
      </c>
      <c r="S21" s="5404" t="s">
        <v>3517</v>
      </c>
      <c r="T21" s="5405" t="s">
        <v>3518</v>
      </c>
    </row>
    <row r="22" spans="1:20" x14ac:dyDescent="0.2">
      <c r="A22" s="296" t="s">
        <v>3296</v>
      </c>
      <c r="B22" s="4">
        <v>64.733964679337348</v>
      </c>
      <c r="C22" s="4">
        <v>49.692011419798668</v>
      </c>
      <c r="D22" s="4">
        <v>-15.041953259538527</v>
      </c>
      <c r="E22" s="1342" t="str">
        <f>IF(       0&lt;0.01,"***",IF(       0&lt;0.05,"**",IF(       0&lt;0.1,"*","NS")))</f>
        <v>***</v>
      </c>
      <c r="G22" s="296" t="s">
        <v>3400</v>
      </c>
      <c r="H22" s="4">
        <v>64.733964679337348</v>
      </c>
      <c r="I22" s="4">
        <v>51.312573245914862</v>
      </c>
      <c r="J22" s="4">
        <v>-13.42139143342242</v>
      </c>
      <c r="K22" s="1343" t="str">
        <f>IF(       0&lt;0.01,"***",IF(       0&lt;0.05,"**",IF(       0&lt;0.1,"*","NS")))</f>
        <v>***</v>
      </c>
      <c r="L22" s="4">
        <v>44.115869974968497</v>
      </c>
      <c r="M22" s="4">
        <v>-20.618094704368843</v>
      </c>
      <c r="N22" s="1344" t="str">
        <f>IF(       0&lt;0.01,"***",IF(       0&lt;0.05,"**",IF(       0&lt;0.1,"*","NS")))</f>
        <v>***</v>
      </c>
      <c r="P22" s="296" t="s">
        <v>3519</v>
      </c>
      <c r="Q22" s="4">
        <v>59.690127506858573</v>
      </c>
      <c r="R22" s="4">
        <v>44.115869974968497</v>
      </c>
      <c r="S22" s="4">
        <v>-15.574257531890085</v>
      </c>
      <c r="T22" s="1345" t="str">
        <f>IF(       0.007&lt;0.01,"***",IF(       0.007&lt;0.05,"**",IF(       0.007&lt;0.1,"*","NS")))</f>
        <v>***</v>
      </c>
    </row>
    <row r="23" spans="1:20" x14ac:dyDescent="0.2">
      <c r="A23" s="296" t="s">
        <v>3297</v>
      </c>
      <c r="B23" s="4">
        <v>85.669018283258566</v>
      </c>
      <c r="C23" s="4">
        <v>75.564706420554188</v>
      </c>
      <c r="D23" s="4">
        <v>-10.104311862704483</v>
      </c>
      <c r="E23" s="1346" t="str">
        <f>IF(       0&lt;0.01,"***",IF(       0&lt;0.05,"**",IF(       0&lt;0.1,"*","NS")))</f>
        <v>***</v>
      </c>
      <c r="G23" s="296" t="s">
        <v>3401</v>
      </c>
      <c r="H23" s="4">
        <v>85.669018283258566</v>
      </c>
      <c r="I23" s="4">
        <v>78.407840892473658</v>
      </c>
      <c r="J23" s="4">
        <v>-7.2611773907848836</v>
      </c>
      <c r="K23" s="1347" t="str">
        <f>IF(       0.002&lt;0.01,"***",IF(       0.002&lt;0.05,"**",IF(       0.002&lt;0.1,"*","NS")))</f>
        <v>***</v>
      </c>
      <c r="L23" s="4">
        <v>68.245027630436681</v>
      </c>
      <c r="M23" s="4">
        <v>-17.423990652821789</v>
      </c>
      <c r="N23" s="1348" t="str">
        <f>IF(       0&lt;0.01,"***",IF(       0&lt;0.05,"**",IF(       0&lt;0.1,"*","NS")))</f>
        <v>***</v>
      </c>
      <c r="P23" s="296" t="s">
        <v>3520</v>
      </c>
      <c r="Q23" s="4">
        <v>83.257868315689166</v>
      </c>
      <c r="R23" s="4">
        <v>68.245027630436681</v>
      </c>
      <c r="S23" s="4">
        <v>-15.012840685252653</v>
      </c>
      <c r="T23" s="1349" t="str">
        <f>IF(       0&lt;0.01,"***",IF(       0&lt;0.05,"**",IF(       0&lt;0.1,"*","NS")))</f>
        <v>***</v>
      </c>
    </row>
    <row r="24" spans="1:20" x14ac:dyDescent="0.2">
      <c r="A24" s="296" t="s">
        <v>3298</v>
      </c>
      <c r="B24" s="4">
        <v>74.053530672544539</v>
      </c>
      <c r="C24" s="4">
        <v>52.951655588650482</v>
      </c>
      <c r="D24" s="4">
        <v>-21.101875083894321</v>
      </c>
      <c r="E24" s="1350" t="str">
        <f>IF(       0&lt;0.01,"***",IF(       0&lt;0.05,"**",IF(       0&lt;0.1,"*","NS")))</f>
        <v>***</v>
      </c>
      <c r="G24" s="296" t="s">
        <v>3402</v>
      </c>
      <c r="H24" s="4">
        <v>74.053530672544539</v>
      </c>
      <c r="I24" s="4">
        <v>57.295990307152977</v>
      </c>
      <c r="J24" s="4">
        <v>-16.757540365391549</v>
      </c>
      <c r="K24" s="1351" t="str">
        <f>IF(       0&lt;0.01,"***",IF(       0&lt;0.05,"**",IF(       0&lt;0.1,"*","NS")))</f>
        <v>***</v>
      </c>
      <c r="L24" s="4">
        <v>41.338880586868022</v>
      </c>
      <c r="M24" s="4">
        <v>-32.714650085676844</v>
      </c>
      <c r="N24" s="1352" t="str">
        <f>IF(       0&lt;0.01,"***",IF(       0&lt;0.05,"**",IF(       0&lt;0.1,"*","NS")))</f>
        <v>***</v>
      </c>
      <c r="P24" s="296" t="s">
        <v>3521</v>
      </c>
      <c r="Q24" s="4">
        <v>70.092850368868952</v>
      </c>
      <c r="R24" s="4">
        <v>41.338880586868022</v>
      </c>
      <c r="S24" s="4">
        <v>-28.753969782000922</v>
      </c>
      <c r="T24" s="1353" t="str">
        <f>IF(       0&lt;0.01,"***",IF(       0&lt;0.05,"**",IF(       0&lt;0.1,"*","NS")))</f>
        <v>***</v>
      </c>
    </row>
    <row r="25" spans="1:20" x14ac:dyDescent="0.2">
      <c r="A25" s="296" t="s">
        <v>3299</v>
      </c>
      <c r="B25" s="4">
        <v>73.943891040869005</v>
      </c>
      <c r="C25" s="4">
        <v>66.921769559159799</v>
      </c>
      <c r="D25" s="4">
        <v>-7.0221214817091804</v>
      </c>
      <c r="E25" s="1354" t="str">
        <f>IF(       0.013&lt;0.01,"***",IF(       0.013&lt;0.05,"**",IF(       0.013&lt;0.1,"*","NS")))</f>
        <v>**</v>
      </c>
      <c r="G25" s="296" t="s">
        <v>3403</v>
      </c>
      <c r="H25" s="4">
        <v>73.943891040869005</v>
      </c>
      <c r="I25" s="4">
        <v>70.640947108860345</v>
      </c>
      <c r="J25" s="4">
        <v>-3.3029439320086307</v>
      </c>
      <c r="K25" s="1355" t="str">
        <f>IF(       0.186&lt;0.01,"***",IF(       0.186&lt;0.05,"**",IF(       0.186&lt;0.1,"*","NS")))</f>
        <v>NS</v>
      </c>
      <c r="L25" s="4">
        <v>53.843526877139873</v>
      </c>
      <c r="M25" s="4">
        <v>-20.1003641637292</v>
      </c>
      <c r="N25" s="1356" t="str">
        <f>IF(       0.001&lt;0.01,"***",IF(       0.001&lt;0.05,"**",IF(       0.001&lt;0.1,"*","NS")))</f>
        <v>***</v>
      </c>
      <c r="P25" s="296" t="s">
        <v>3522</v>
      </c>
      <c r="Q25" s="4">
        <v>72.937468804909187</v>
      </c>
      <c r="R25" s="4">
        <v>53.843526877139873</v>
      </c>
      <c r="S25" s="4">
        <v>-19.093941927769304</v>
      </c>
      <c r="T25" s="1357" t="str">
        <f>IF(       0.001&lt;0.01,"***",IF(       0.001&lt;0.05,"**",IF(       0.001&lt;0.1,"*","NS")))</f>
        <v>***</v>
      </c>
    </row>
    <row r="26" spans="1:20" x14ac:dyDescent="0.2">
      <c r="A26" s="296" t="s">
        <v>3300</v>
      </c>
      <c r="B26" s="4">
        <v>72.791848492671278</v>
      </c>
      <c r="C26" s="4">
        <v>74.260463341012056</v>
      </c>
      <c r="D26" s="4">
        <v>1.4686148483407973</v>
      </c>
      <c r="E26" s="1358" t="str">
        <f>IF(       0.714&lt;0.01,"***",IF(       0.714&lt;0.05,"**",IF(       0.714&lt;0.1,"*","NS")))</f>
        <v>NS</v>
      </c>
      <c r="G26" s="296" t="s">
        <v>3404</v>
      </c>
      <c r="H26" s="4">
        <v>72.791848492671278</v>
      </c>
      <c r="I26" s="4">
        <v>77.067195859446912</v>
      </c>
      <c r="J26" s="4">
        <v>4.2753473667756339</v>
      </c>
      <c r="K26" s="1359" t="str">
        <f>IF(       0.287&lt;0.01,"***",IF(       0.287&lt;0.05,"**",IF(       0.287&lt;0.1,"*","NS")))</f>
        <v>NS</v>
      </c>
      <c r="L26" s="4">
        <v>61.844767818612482</v>
      </c>
      <c r="M26" s="4">
        <v>-10.947080674058867</v>
      </c>
      <c r="N26" s="1360" t="str">
        <f>IF(       0.13&lt;0.01,"***",IF(       0.13&lt;0.05,"**",IF(       0.13&lt;0.1,"*","NS")))</f>
        <v>NS</v>
      </c>
      <c r="P26" s="296" t="s">
        <v>3523</v>
      </c>
      <c r="Q26" s="4">
        <v>73.935565924139453</v>
      </c>
      <c r="R26" s="4">
        <v>61.844767818612482</v>
      </c>
      <c r="S26" s="4">
        <v>-12.090798105526819</v>
      </c>
      <c r="T26" s="1361" t="str">
        <f>IF(       0.08&lt;0.01,"***",IF(       0.08&lt;0.05,"**",IF(       0.08&lt;0.1,"*","NS")))</f>
        <v>*</v>
      </c>
    </row>
    <row r="27" spans="1:20" x14ac:dyDescent="0.2">
      <c r="A27" s="296" t="s">
        <v>3301</v>
      </c>
      <c r="B27" s="4">
        <v>81.306533251518005</v>
      </c>
      <c r="C27" s="4">
        <v>68.619136783340508</v>
      </c>
      <c r="D27" s="4">
        <v>-12.687396468177594</v>
      </c>
      <c r="E27" s="1362" t="str">
        <f>IF(       0&lt;0.01,"***",IF(       0&lt;0.05,"**",IF(       0&lt;0.1,"*","NS")))</f>
        <v>***</v>
      </c>
      <c r="G27" s="296" t="s">
        <v>3405</v>
      </c>
      <c r="H27" s="4">
        <v>81.306533251518005</v>
      </c>
      <c r="I27" s="4">
        <v>70.711311338374742</v>
      </c>
      <c r="J27" s="4">
        <v>-10.595221913143277</v>
      </c>
      <c r="K27" s="1363" t="str">
        <f>IF(       0.007&lt;0.01,"***",IF(       0.007&lt;0.05,"**",IF(       0.007&lt;0.1,"*","NS")))</f>
        <v>***</v>
      </c>
      <c r="L27" s="4">
        <v>62.547100572994658</v>
      </c>
      <c r="M27" s="4">
        <v>-18.7594326785234</v>
      </c>
      <c r="N27" s="1364" t="str">
        <f>IF(       0&lt;0.01,"***",IF(       0&lt;0.05,"**",IF(       0&lt;0.1,"*","NS")))</f>
        <v>***</v>
      </c>
      <c r="P27" s="296" t="s">
        <v>3524</v>
      </c>
      <c r="Q27" s="4">
        <v>78.234078499993856</v>
      </c>
      <c r="R27" s="4">
        <v>62.547100572994658</v>
      </c>
      <c r="S27" s="4">
        <v>-15.686977926999012</v>
      </c>
      <c r="T27" s="1365" t="str">
        <f>IF(       0.001&lt;0.01,"***",IF(       0.001&lt;0.05,"**",IF(       0.001&lt;0.1,"*","NS")))</f>
        <v>***</v>
      </c>
    </row>
    <row r="28" spans="1:20" x14ac:dyDescent="0.2">
      <c r="A28" s="296" t="s">
        <v>3302</v>
      </c>
      <c r="B28" s="4">
        <v>97.942726693987154</v>
      </c>
      <c r="C28" s="4">
        <v>97.561109635543033</v>
      </c>
      <c r="D28" s="4">
        <v>-0.38161705844411831</v>
      </c>
      <c r="E28" s="1366" t="str">
        <f>IF(       0.708&lt;0.01,"***",IF(       0.708&lt;0.05,"**",IF(       0.708&lt;0.1,"*","NS")))</f>
        <v>NS</v>
      </c>
      <c r="G28" s="296" t="s">
        <v>3406</v>
      </c>
      <c r="H28" s="4">
        <v>97.942726693987154</v>
      </c>
      <c r="I28" s="4">
        <v>96.991897528506357</v>
      </c>
      <c r="J28" s="4">
        <v>-0.95082916548079366</v>
      </c>
      <c r="K28" s="1367" t="str">
        <f>IF(       0.444&lt;0.01,"***",IF(       0.444&lt;0.05,"**",IF(       0.444&lt;0.1,"*","NS")))</f>
        <v>NS</v>
      </c>
      <c r="L28" s="4">
        <v>100</v>
      </c>
      <c r="M28" s="4">
        <v>2.0572733060128674</v>
      </c>
      <c r="N28" s="1368" t="str">
        <f>IF(       0&lt;0.01,"***",IF(       0&lt;0.05,"**",IF(       0&lt;0.1,"*","NS")))</f>
        <v>***</v>
      </c>
      <c r="P28" s="296" t="s">
        <v>3525</v>
      </c>
      <c r="Q28" s="4">
        <v>97.792775920233083</v>
      </c>
      <c r="R28" s="4">
        <v>100</v>
      </c>
      <c r="S28" s="4">
        <v>2.2072240797669598</v>
      </c>
      <c r="T28" s="1369" t="str">
        <f>IF(       0&lt;0.01,"***",IF(       0&lt;0.05,"**",IF(       0&lt;0.1,"*","NS")))</f>
        <v>***</v>
      </c>
    </row>
    <row r="29" spans="1:20" x14ac:dyDescent="0.2">
      <c r="A29" s="296" t="s">
        <v>3303</v>
      </c>
      <c r="B29" s="4">
        <v>38.657765597046883</v>
      </c>
      <c r="C29" s="4">
        <v>23.095969925881519</v>
      </c>
      <c r="D29" s="4">
        <v>-15.561795671165426</v>
      </c>
      <c r="E29" s="1370" t="str">
        <f t="shared" ref="E29:E34" si="0">IF(       0&lt;0.01,"***",IF(       0&lt;0.05,"**",IF(       0&lt;0.1,"*","NS")))</f>
        <v>***</v>
      </c>
      <c r="G29" s="296" t="s">
        <v>3407</v>
      </c>
      <c r="H29" s="4">
        <v>38.657765597046883</v>
      </c>
      <c r="I29" s="4">
        <v>24.567210479930459</v>
      </c>
      <c r="J29" s="4">
        <v>-14.090555117116432</v>
      </c>
      <c r="K29" s="1371" t="str">
        <f>IF(       0.001&lt;0.01,"***",IF(       0.001&lt;0.05,"**",IF(       0.001&lt;0.1,"*","NS")))</f>
        <v>***</v>
      </c>
      <c r="L29" s="4">
        <v>17.9563917393628</v>
      </c>
      <c r="M29" s="4">
        <v>-20.701373857684143</v>
      </c>
      <c r="N29" s="1372" t="str">
        <f>IF(       0&lt;0.01,"***",IF(       0&lt;0.05,"**",IF(       0&lt;0.1,"*","NS")))</f>
        <v>***</v>
      </c>
      <c r="P29" s="296" t="s">
        <v>3526</v>
      </c>
      <c r="Q29" s="4">
        <v>35.751780853810907</v>
      </c>
      <c r="R29" s="4">
        <v>17.9563917393628</v>
      </c>
      <c r="S29" s="4">
        <v>-17.79538911444817</v>
      </c>
      <c r="T29" s="1373" t="str">
        <f>IF(       0.001&lt;0.01,"***",IF(       0.001&lt;0.05,"**",IF(       0.001&lt;0.1,"*","NS")))</f>
        <v>***</v>
      </c>
    </row>
    <row r="30" spans="1:20" x14ac:dyDescent="0.2">
      <c r="A30" s="296" t="s">
        <v>3304</v>
      </c>
      <c r="B30" s="4">
        <v>83.278080028519625</v>
      </c>
      <c r="C30" s="4">
        <v>71.75268192269796</v>
      </c>
      <c r="D30" s="4">
        <v>-11.52539810582164</v>
      </c>
      <c r="E30" s="1374" t="str">
        <f t="shared" si="0"/>
        <v>***</v>
      </c>
      <c r="G30" s="296" t="s">
        <v>3408</v>
      </c>
      <c r="H30" s="4">
        <v>83.278080028519625</v>
      </c>
      <c r="I30" s="4">
        <v>75.758079749410882</v>
      </c>
      <c r="J30" s="4">
        <v>-7.520000279108765</v>
      </c>
      <c r="K30" s="1375" t="str">
        <f>IF(       0.013&lt;0.01,"***",IF(       0.013&lt;0.05,"**",IF(       0.013&lt;0.1,"*","NS")))</f>
        <v>**</v>
      </c>
      <c r="L30" s="4">
        <v>65.767192495250626</v>
      </c>
      <c r="M30" s="4">
        <v>-17.510887533269095</v>
      </c>
      <c r="N30" s="1376" t="str">
        <f>IF(       0&lt;0.01,"***",IF(       0&lt;0.05,"**",IF(       0&lt;0.1,"*","NS")))</f>
        <v>***</v>
      </c>
      <c r="P30" s="296" t="s">
        <v>3527</v>
      </c>
      <c r="Q30" s="4">
        <v>80.435800406468843</v>
      </c>
      <c r="R30" s="4">
        <v>65.767192495250626</v>
      </c>
      <c r="S30" s="4">
        <v>-14.668607911218215</v>
      </c>
      <c r="T30" s="1377" t="str">
        <f>IF(       0&lt;0.01,"***",IF(       0&lt;0.05,"**",IF(       0&lt;0.1,"*","NS")))</f>
        <v>***</v>
      </c>
    </row>
    <row r="31" spans="1:20" x14ac:dyDescent="0.2">
      <c r="A31" s="296" t="s">
        <v>3305</v>
      </c>
      <c r="B31" s="4">
        <v>67.679383673065843</v>
      </c>
      <c r="C31" s="4">
        <v>54.501743347033617</v>
      </c>
      <c r="D31" s="4">
        <v>-13.177640326032284</v>
      </c>
      <c r="E31" s="1378" t="str">
        <f t="shared" si="0"/>
        <v>***</v>
      </c>
      <c r="G31" s="296" t="s">
        <v>3409</v>
      </c>
      <c r="H31" s="4">
        <v>67.679383673065843</v>
      </c>
      <c r="I31" s="4">
        <v>56.367074747954113</v>
      </c>
      <c r="J31" s="4">
        <v>-11.312308925111623</v>
      </c>
      <c r="K31" s="1379" t="str">
        <f>IF(       0&lt;0.01,"***",IF(       0&lt;0.05,"**",IF(       0&lt;0.1,"*","NS")))</f>
        <v>***</v>
      </c>
      <c r="L31" s="4">
        <v>48.407786795007759</v>
      </c>
      <c r="M31" s="4">
        <v>-19.271596878057913</v>
      </c>
      <c r="N31" s="1380" t="str">
        <f>IF(       0&lt;0.01,"***",IF(       0&lt;0.05,"**",IF(       0&lt;0.1,"*","NS")))</f>
        <v>***</v>
      </c>
      <c r="P31" s="296" t="s">
        <v>3528</v>
      </c>
      <c r="Q31" s="4">
        <v>63.082147148031702</v>
      </c>
      <c r="R31" s="4">
        <v>48.407786795007759</v>
      </c>
      <c r="S31" s="4">
        <v>-14.67436035302396</v>
      </c>
      <c r="T31" s="1381" t="str">
        <f>IF(       0.001&lt;0.01,"***",IF(       0.001&lt;0.05,"**",IF(       0.001&lt;0.1,"*","NS")))</f>
        <v>***</v>
      </c>
    </row>
    <row r="32" spans="1:20" x14ac:dyDescent="0.2">
      <c r="A32" s="296" t="s">
        <v>3306</v>
      </c>
      <c r="B32" s="4">
        <v>91.627674492630888</v>
      </c>
      <c r="C32" s="4">
        <v>81.585629682490179</v>
      </c>
      <c r="D32" s="4">
        <v>-10.042044810140723</v>
      </c>
      <c r="E32" s="1382" t="str">
        <f t="shared" si="0"/>
        <v>***</v>
      </c>
      <c r="G32" s="296" t="s">
        <v>3410</v>
      </c>
      <c r="H32" s="4">
        <v>91.627674492630888</v>
      </c>
      <c r="I32" s="4">
        <v>83.391897399078303</v>
      </c>
      <c r="J32" s="4">
        <v>-8.2357770935525867</v>
      </c>
      <c r="K32" s="1383" t="str">
        <f>IF(       0&lt;0.01,"***",IF(       0&lt;0.05,"**",IF(       0&lt;0.1,"*","NS")))</f>
        <v>***</v>
      </c>
      <c r="L32" s="4">
        <v>76.904104332802106</v>
      </c>
      <c r="M32" s="4">
        <v>-14.723570159828702</v>
      </c>
      <c r="N32" s="1384" t="str">
        <f>IF(       0.001&lt;0.01,"***",IF(       0.001&lt;0.05,"**",IF(       0.001&lt;0.1,"*","NS")))</f>
        <v>***</v>
      </c>
      <c r="P32" s="296" t="s">
        <v>3529</v>
      </c>
      <c r="Q32" s="4">
        <v>89.471934104168128</v>
      </c>
      <c r="R32" s="4">
        <v>76.904104332802106</v>
      </c>
      <c r="S32" s="4">
        <v>-12.567829771365925</v>
      </c>
      <c r="T32" s="1385" t="str">
        <f>IF(       0.004&lt;0.01,"***",IF(       0.004&lt;0.05,"**",IF(       0.004&lt;0.1,"*","NS")))</f>
        <v>***</v>
      </c>
    </row>
    <row r="33" spans="1:20" x14ac:dyDescent="0.2">
      <c r="A33" s="296" t="s">
        <v>3307</v>
      </c>
      <c r="B33" s="4">
        <v>93.315817871332072</v>
      </c>
      <c r="C33" s="4">
        <v>83.21073753111628</v>
      </c>
      <c r="D33" s="4">
        <v>-10.105080340215883</v>
      </c>
      <c r="E33" s="1386" t="str">
        <f t="shared" si="0"/>
        <v>***</v>
      </c>
      <c r="G33" s="296" t="s">
        <v>3411</v>
      </c>
      <c r="H33" s="4">
        <v>93.315817871332072</v>
      </c>
      <c r="I33" s="4">
        <v>84.934674030090804</v>
      </c>
      <c r="J33" s="4">
        <v>-8.3811438412413608</v>
      </c>
      <c r="K33" s="1387" t="str">
        <f>IF(       0&lt;0.01,"***",IF(       0&lt;0.05,"**",IF(       0&lt;0.1,"*","NS")))</f>
        <v>***</v>
      </c>
      <c r="L33" s="4">
        <v>78.447207634643021</v>
      </c>
      <c r="M33" s="4">
        <v>-14.868610236688863</v>
      </c>
      <c r="N33" s="1388" t="str">
        <f>IF(       0.001&lt;0.01,"***",IF(       0.001&lt;0.05,"**",IF(       0.001&lt;0.1,"*","NS")))</f>
        <v>***</v>
      </c>
      <c r="P33" s="296" t="s">
        <v>3530</v>
      </c>
      <c r="Q33" s="4">
        <v>91.353984233311593</v>
      </c>
      <c r="R33" s="4">
        <v>78.447207634643021</v>
      </c>
      <c r="S33" s="4">
        <v>-12.906776598668642</v>
      </c>
      <c r="T33" s="1389" t="str">
        <f>IF(       0.004&lt;0.01,"***",IF(       0.004&lt;0.05,"**",IF(       0.004&lt;0.1,"*","NS")))</f>
        <v>***</v>
      </c>
    </row>
    <row r="34" spans="1:20" x14ac:dyDescent="0.2">
      <c r="A34" s="296" t="s">
        <v>3308</v>
      </c>
      <c r="B34" s="4">
        <v>75.556897783671815</v>
      </c>
      <c r="C34" s="4">
        <v>65.948165945914312</v>
      </c>
      <c r="D34" s="4">
        <v>-9.6087318377575723</v>
      </c>
      <c r="E34" s="1390" t="str">
        <f t="shared" si="0"/>
        <v>***</v>
      </c>
      <c r="G34" s="296" t="s">
        <v>3412</v>
      </c>
      <c r="H34" s="4">
        <v>75.556897783671815</v>
      </c>
      <c r="I34" s="4">
        <v>68.026120243888471</v>
      </c>
      <c r="J34" s="4">
        <v>-7.5307775397833563</v>
      </c>
      <c r="K34" s="1391" t="str">
        <f>IF(       0.007&lt;0.01,"***",IF(       0.007&lt;0.05,"**",IF(       0.007&lt;0.1,"*","NS")))</f>
        <v>***</v>
      </c>
      <c r="L34" s="4">
        <v>59.065279168129003</v>
      </c>
      <c r="M34" s="4">
        <v>-16.491618615542773</v>
      </c>
      <c r="N34" s="1392" t="str">
        <f>IF(       0.007&lt;0.01,"***",IF(       0.007&lt;0.05,"**",IF(       0.007&lt;0.1,"*","NS")))</f>
        <v>***</v>
      </c>
      <c r="P34" s="296" t="s">
        <v>3531</v>
      </c>
      <c r="Q34" s="4">
        <v>73.672595871438418</v>
      </c>
      <c r="R34" s="4">
        <v>59.065279168129003</v>
      </c>
      <c r="S34" s="4">
        <v>-14.607316703309607</v>
      </c>
      <c r="T34" s="1393" t="str">
        <f>IF(       0.016&lt;0.01,"***",IF(       0.016&lt;0.05,"**",IF(       0.016&lt;0.1,"*","NS")))</f>
        <v>**</v>
      </c>
    </row>
    <row r="35" spans="1:20" x14ac:dyDescent="0.2">
      <c r="A35" s="296" t="s">
        <v>3309</v>
      </c>
      <c r="B35" s="4">
        <v>82.314590875934812</v>
      </c>
      <c r="C35" s="4">
        <v>77.728088267696307</v>
      </c>
      <c r="D35" s="4">
        <v>-4.5865026082385523</v>
      </c>
      <c r="E35" s="1394" t="str">
        <f>IF(       0.054&lt;0.01,"***",IF(       0.054&lt;0.05,"**",IF(       0.054&lt;0.1,"*","NS")))</f>
        <v>*</v>
      </c>
      <c r="G35" s="296" t="s">
        <v>3413</v>
      </c>
      <c r="H35" s="4">
        <v>82.314590875934812</v>
      </c>
      <c r="I35" s="4">
        <v>80.214301755460269</v>
      </c>
      <c r="J35" s="4">
        <v>-2.1002891204745628</v>
      </c>
      <c r="K35" s="1395" t="str">
        <f>IF(       0.373&lt;0.01,"***",IF(       0.373&lt;0.05,"**",IF(       0.373&lt;0.1,"*","NS")))</f>
        <v>NS</v>
      </c>
      <c r="L35" s="4">
        <v>72.702069264812039</v>
      </c>
      <c r="M35" s="4">
        <v>-9.6125216111227783</v>
      </c>
      <c r="N35" s="1396" t="str">
        <f>IF(       0.008&lt;0.01,"***",IF(       0.008&lt;0.05,"**",IF(       0.008&lt;0.1,"*","NS")))</f>
        <v>***</v>
      </c>
      <c r="P35" s="296" t="s">
        <v>3532</v>
      </c>
      <c r="Q35" s="4">
        <v>81.608082058408115</v>
      </c>
      <c r="R35" s="4">
        <v>72.702069264812039</v>
      </c>
      <c r="S35" s="4">
        <v>-8.9060127935960764</v>
      </c>
      <c r="T35" s="1397" t="str">
        <f>IF(       0.007&lt;0.01,"***",IF(       0.007&lt;0.05,"**",IF(       0.007&lt;0.1,"*","NS")))</f>
        <v>***</v>
      </c>
    </row>
    <row r="36" spans="1:20" x14ac:dyDescent="0.2">
      <c r="A36" s="296" t="s">
        <v>3310</v>
      </c>
      <c r="B36" s="4">
        <v>71.30111661510584</v>
      </c>
      <c r="C36" s="4">
        <v>52.423683665326031</v>
      </c>
      <c r="D36" s="4">
        <v>-18.87743294977998</v>
      </c>
      <c r="E36" s="1398" t="str">
        <f>IF(       0&lt;0.01,"***",IF(       0&lt;0.05,"**",IF(       0&lt;0.1,"*","NS")))</f>
        <v>***</v>
      </c>
      <c r="G36" s="296" t="s">
        <v>3414</v>
      </c>
      <c r="H36" s="4">
        <v>71.30111661510584</v>
      </c>
      <c r="I36" s="4">
        <v>54.48426796638163</v>
      </c>
      <c r="J36" s="4">
        <v>-16.816848648724164</v>
      </c>
      <c r="K36" s="1399" t="str">
        <f>IF(       0&lt;0.01,"***",IF(       0&lt;0.05,"**",IF(       0&lt;0.1,"*","NS")))</f>
        <v>***</v>
      </c>
      <c r="L36" s="4">
        <v>45.056768698495908</v>
      </c>
      <c r="M36" s="4">
        <v>-26.244347916609918</v>
      </c>
      <c r="N36" s="1400" t="str">
        <f>IF(       0&lt;0.01,"***",IF(       0&lt;0.05,"**",IF(       0&lt;0.1,"*","NS")))</f>
        <v>***</v>
      </c>
      <c r="P36" s="296" t="s">
        <v>3533</v>
      </c>
      <c r="Q36" s="4">
        <v>66.70372908715575</v>
      </c>
      <c r="R36" s="4">
        <v>45.056768698495908</v>
      </c>
      <c r="S36" s="4">
        <v>-21.646960388660005</v>
      </c>
      <c r="T36" s="1401" t="str">
        <f>IF(       0&lt;0.01,"***",IF(       0&lt;0.05,"**",IF(       0&lt;0.1,"*","NS")))</f>
        <v>***</v>
      </c>
    </row>
    <row r="37" spans="1:20" x14ac:dyDescent="0.2">
      <c r="A37" s="296" t="s">
        <v>5835</v>
      </c>
      <c r="B37" s="4">
        <v>80.738658708111771</v>
      </c>
      <c r="C37" s="4">
        <v>69.252589518168151</v>
      </c>
      <c r="D37" s="4">
        <v>-11.486069189943382</v>
      </c>
      <c r="E37" s="1402" t="str">
        <f>IF(       0&lt;0.01,"***",IF(       0&lt;0.05,"**",IF(       0&lt;0.1,"*","NS")))</f>
        <v>***</v>
      </c>
      <c r="G37" s="296" t="s">
        <v>5835</v>
      </c>
      <c r="H37" s="4">
        <v>80.738658708111771</v>
      </c>
      <c r="I37" s="4">
        <v>71.319228533444985</v>
      </c>
      <c r="J37" s="4">
        <v>-9.4194301746667328</v>
      </c>
      <c r="K37" s="1403" t="str">
        <f>IF(       0&lt;0.01,"***",IF(       0&lt;0.05,"**",IF(       0&lt;0.1,"*","NS")))</f>
        <v>***</v>
      </c>
      <c r="L37" s="4">
        <v>63.456832171042016</v>
      </c>
      <c r="M37" s="4">
        <v>-17.281826537070149</v>
      </c>
      <c r="N37" s="1404" t="str">
        <f>IF(       0&lt;0.01,"***",IF(       0&lt;0.05,"**",IF(       0&lt;0.1,"*","NS")))</f>
        <v>***</v>
      </c>
      <c r="P37" s="296" t="s">
        <v>5835</v>
      </c>
      <c r="Q37" s="4">
        <v>78.062714564604178</v>
      </c>
      <c r="R37" s="4">
        <v>63.456832171042016</v>
      </c>
      <c r="S37" s="4">
        <v>-14.605882393562375</v>
      </c>
      <c r="T37" s="1405" t="str">
        <f>IF(       0&lt;0.01,"***",IF(       0&lt;0.05,"**",IF(       0&lt;0.1,"*","NS")))</f>
        <v>***</v>
      </c>
    </row>
    <row r="39" spans="1:20" x14ac:dyDescent="0.2">
      <c r="A39" s="296" t="s">
        <v>3311</v>
      </c>
      <c r="G39" s="296" t="s">
        <v>3415</v>
      </c>
      <c r="P39" s="296" t="s">
        <v>3534</v>
      </c>
    </row>
    <row r="40" spans="1:20" s="3" customFormat="1" x14ac:dyDescent="0.2">
      <c r="A40" s="5406" t="s">
        <v>3312</v>
      </c>
      <c r="B40" s="5407" t="s">
        <v>3313</v>
      </c>
      <c r="C40" s="5408" t="s">
        <v>3314</v>
      </c>
      <c r="D40" s="5409" t="s">
        <v>3315</v>
      </c>
      <c r="E40" s="5410" t="s">
        <v>3316</v>
      </c>
      <c r="G40" s="5411" t="s">
        <v>3416</v>
      </c>
      <c r="H40" s="5412" t="s">
        <v>3417</v>
      </c>
      <c r="I40" s="5413" t="s">
        <v>3418</v>
      </c>
      <c r="J40" s="5414" t="s">
        <v>3419</v>
      </c>
      <c r="K40" s="5415" t="s">
        <v>3420</v>
      </c>
      <c r="L40" s="5416" t="s">
        <v>3483</v>
      </c>
      <c r="M40" s="5417" t="s">
        <v>3484</v>
      </c>
      <c r="N40" s="5418" t="s">
        <v>3485</v>
      </c>
      <c r="P40" s="5419" t="s">
        <v>3535</v>
      </c>
      <c r="Q40" s="5420" t="s">
        <v>3536</v>
      </c>
      <c r="R40" s="5421" t="s">
        <v>3537</v>
      </c>
      <c r="S40" s="5422" t="s">
        <v>3538</v>
      </c>
      <c r="T40" s="5423" t="s">
        <v>3539</v>
      </c>
    </row>
    <row r="41" spans="1:20" x14ac:dyDescent="0.2">
      <c r="A41" s="296" t="s">
        <v>3317</v>
      </c>
      <c r="B41" s="4">
        <v>66.381563004430461</v>
      </c>
      <c r="C41" s="4">
        <v>58.563300365742663</v>
      </c>
      <c r="D41" s="4">
        <v>-7.8182626386877843</v>
      </c>
      <c r="E41" s="1406" t="str">
        <f>IF(       0.017&lt;0.01,"***",IF(       0.017&lt;0.05,"**",IF(       0.017&lt;0.1,"*","NS")))</f>
        <v>**</v>
      </c>
      <c r="G41" s="296" t="s">
        <v>3421</v>
      </c>
      <c r="H41" s="4">
        <v>66.381563004430461</v>
      </c>
      <c r="I41" s="4">
        <v>61.047484274257307</v>
      </c>
      <c r="J41" s="4">
        <v>-5.3340787301731378</v>
      </c>
      <c r="K41" s="1407" t="str">
        <f>IF(       0.126&lt;0.01,"***",IF(       0.126&lt;0.05,"**",IF(       0.126&lt;0.1,"*","NS")))</f>
        <v>NS</v>
      </c>
      <c r="L41" s="4">
        <v>46.97405485842085</v>
      </c>
      <c r="M41" s="4">
        <v>-19.407508146009675</v>
      </c>
      <c r="N41" s="1408" t="str">
        <f>IF(       0.001&lt;0.01,"***",IF(       0.001&lt;0.05,"**",IF(       0.001&lt;0.1,"*","NS")))</f>
        <v>***</v>
      </c>
      <c r="P41" s="296" t="s">
        <v>3540</v>
      </c>
      <c r="Q41" s="4">
        <v>64.576316185952436</v>
      </c>
      <c r="R41" s="4">
        <v>46.97405485842085</v>
      </c>
      <c r="S41" s="4">
        <v>-17.602261327531544</v>
      </c>
      <c r="T41" s="1409" t="str">
        <f>IF(       0.002&lt;0.01,"***",IF(       0.002&lt;0.05,"**",IF(       0.002&lt;0.1,"*","NS")))</f>
        <v>***</v>
      </c>
    </row>
    <row r="42" spans="1:20" x14ac:dyDescent="0.2">
      <c r="A42" s="296" t="s">
        <v>3318</v>
      </c>
      <c r="B42" s="4">
        <v>87.810266802488911</v>
      </c>
      <c r="C42" s="4">
        <v>79.709130736785724</v>
      </c>
      <c r="D42" s="4">
        <v>-8.1011360657031606</v>
      </c>
      <c r="E42" s="1410" t="str">
        <f>IF(       0.001&lt;0.01,"***",IF(       0.001&lt;0.05,"**",IF(       0.001&lt;0.1,"*","NS")))</f>
        <v>***</v>
      </c>
      <c r="G42" s="296" t="s">
        <v>3422</v>
      </c>
      <c r="H42" s="4">
        <v>87.810266802488911</v>
      </c>
      <c r="I42" s="4">
        <v>80.808566567557179</v>
      </c>
      <c r="J42" s="4">
        <v>-7.0017002349318158</v>
      </c>
      <c r="K42" s="1411" t="str">
        <f>IF(       0.01&lt;0.01,"***",IF(       0.01&lt;0.05,"**",IF(       0.01&lt;0.1,"*","NS")))</f>
        <v>**</v>
      </c>
      <c r="L42" s="4">
        <v>76.745393230389951</v>
      </c>
      <c r="M42" s="4">
        <v>-11.064873572098955</v>
      </c>
      <c r="N42" s="1412" t="str">
        <f>IF(       0.015&lt;0.01,"***",IF(       0.015&lt;0.05,"**",IF(       0.015&lt;0.1,"*","NS")))</f>
        <v>**</v>
      </c>
      <c r="P42" s="296" t="s">
        <v>3541</v>
      </c>
      <c r="Q42" s="4">
        <v>86.132288860352745</v>
      </c>
      <c r="R42" s="4">
        <v>76.745393230389951</v>
      </c>
      <c r="S42" s="4">
        <v>-9.3868956299627371</v>
      </c>
      <c r="T42" s="1413" t="str">
        <f>IF(       0.037&lt;0.01,"***",IF(       0.037&lt;0.05,"**",IF(       0.037&lt;0.1,"*","NS")))</f>
        <v>**</v>
      </c>
    </row>
    <row r="43" spans="1:20" x14ac:dyDescent="0.2">
      <c r="A43" s="296" t="s">
        <v>3319</v>
      </c>
      <c r="B43" s="4">
        <v>72.770497200202541</v>
      </c>
      <c r="C43" s="4">
        <v>55.596122559403213</v>
      </c>
      <c r="D43" s="4">
        <v>-17.17437464079946</v>
      </c>
      <c r="E43" s="1414" t="str">
        <f>IF(       0&lt;0.01,"***",IF(       0&lt;0.05,"**",IF(       0&lt;0.1,"*","NS")))</f>
        <v>***</v>
      </c>
      <c r="G43" s="296" t="s">
        <v>3423</v>
      </c>
      <c r="H43" s="4">
        <v>72.770497200202541</v>
      </c>
      <c r="I43" s="4">
        <v>57.398897450450221</v>
      </c>
      <c r="J43" s="4">
        <v>-15.37159974975236</v>
      </c>
      <c r="K43" s="1415" t="str">
        <f>IF(       0&lt;0.01,"***",IF(       0&lt;0.05,"**",IF(       0&lt;0.1,"*","NS")))</f>
        <v>***</v>
      </c>
      <c r="L43" s="4">
        <v>49.325133103031007</v>
      </c>
      <c r="M43" s="4">
        <v>-23.445364097171499</v>
      </c>
      <c r="N43" s="1416" t="str">
        <f>IF(       0.002&lt;0.01,"***",IF(       0.002&lt;0.05,"**",IF(       0.002&lt;0.1,"*","NS")))</f>
        <v>***</v>
      </c>
      <c r="P43" s="296" t="s">
        <v>3542</v>
      </c>
      <c r="Q43" s="4">
        <v>69.123609838203052</v>
      </c>
      <c r="R43" s="4">
        <v>49.325133103031007</v>
      </c>
      <c r="S43" s="4">
        <v>-19.79847673517213</v>
      </c>
      <c r="T43" s="1417" t="str">
        <f>IF(       0.007&lt;0.01,"***",IF(       0.007&lt;0.05,"**",IF(       0.007&lt;0.1,"*","NS")))</f>
        <v>***</v>
      </c>
    </row>
    <row r="44" spans="1:20" x14ac:dyDescent="0.2">
      <c r="A44" s="296" t="s">
        <v>3320</v>
      </c>
      <c r="B44" s="4">
        <v>78.542582690497454</v>
      </c>
      <c r="C44" s="4">
        <v>66.533620537100703</v>
      </c>
      <c r="D44" s="4">
        <v>-12.008962153396769</v>
      </c>
      <c r="E44" s="1418" t="str">
        <f>IF(       0.001&lt;0.01,"***",IF(       0.001&lt;0.05,"**",IF(       0.001&lt;0.1,"*","NS")))</f>
        <v>***</v>
      </c>
      <c r="G44" s="296" t="s">
        <v>3424</v>
      </c>
      <c r="H44" s="4">
        <v>78.542582690497454</v>
      </c>
      <c r="I44" s="4">
        <v>69.197577758924254</v>
      </c>
      <c r="J44" s="4">
        <v>-9.3450049315731825</v>
      </c>
      <c r="K44" s="1419" t="str">
        <f>IF(       0.005&lt;0.01,"***",IF(       0.005&lt;0.05,"**",IF(       0.005&lt;0.1,"*","NS")))</f>
        <v>***</v>
      </c>
      <c r="L44" s="4">
        <v>55.424021728384709</v>
      </c>
      <c r="M44" s="4">
        <v>-23.118560962112802</v>
      </c>
      <c r="N44" s="1420" t="str">
        <f>IF(       0.001&lt;0.01,"***",IF(       0.001&lt;0.05,"**",IF(       0.001&lt;0.1,"*","NS")))</f>
        <v>***</v>
      </c>
      <c r="P44" s="296" t="s">
        <v>3543</v>
      </c>
      <c r="Q44" s="4">
        <v>75.9295596846856</v>
      </c>
      <c r="R44" s="4">
        <v>55.424021728384709</v>
      </c>
      <c r="S44" s="4">
        <v>-20.50553795630092</v>
      </c>
      <c r="T44" s="1421" t="str">
        <f>IF(       0.002&lt;0.01,"***",IF(       0.002&lt;0.05,"**",IF(       0.002&lt;0.1,"*","NS")))</f>
        <v>***</v>
      </c>
    </row>
    <row r="45" spans="1:20" x14ac:dyDescent="0.2">
      <c r="A45" s="296" t="s">
        <v>3321</v>
      </c>
      <c r="B45" s="4">
        <v>74.806353926741266</v>
      </c>
      <c r="C45" s="4">
        <v>74.255490503319251</v>
      </c>
      <c r="D45" s="4">
        <v>-0.55086342342202899</v>
      </c>
      <c r="E45" s="1422" t="str">
        <f>IF(       0.836&lt;0.01,"***",IF(       0.836&lt;0.05,"**",IF(       0.836&lt;0.1,"*","NS")))</f>
        <v>NS</v>
      </c>
      <c r="G45" s="296" t="s">
        <v>3425</v>
      </c>
      <c r="H45" s="4">
        <v>74.806353926741266</v>
      </c>
      <c r="I45" s="4">
        <v>75.196507354376095</v>
      </c>
      <c r="J45" s="4">
        <v>0.39015342763483007</v>
      </c>
      <c r="K45" s="1423" t="str">
        <f>IF(       0.888&lt;0.01,"***",IF(       0.888&lt;0.05,"**",IF(       0.888&lt;0.1,"*","NS")))</f>
        <v>NS</v>
      </c>
      <c r="L45" s="4">
        <v>69.433885791126869</v>
      </c>
      <c r="M45" s="4">
        <v>-5.3724681356143345</v>
      </c>
      <c r="N45" s="1424" t="str">
        <f>IF(       0.446&lt;0.01,"***",IF(       0.446&lt;0.05,"**",IF(       0.446&lt;0.1,"*","NS")))</f>
        <v>NS</v>
      </c>
      <c r="P45" s="296" t="s">
        <v>3544</v>
      </c>
      <c r="Q45" s="4">
        <v>74.908058804612153</v>
      </c>
      <c r="R45" s="4">
        <v>69.433885791126869</v>
      </c>
      <c r="S45" s="4">
        <v>-5.4741730134852951</v>
      </c>
      <c r="T45" s="1425" t="str">
        <f>IF(       0.437&lt;0.01,"***",IF(       0.437&lt;0.05,"**",IF(       0.437&lt;0.1,"*","NS")))</f>
        <v>NS</v>
      </c>
    </row>
    <row r="46" spans="1:20" x14ac:dyDescent="0.2">
      <c r="A46" s="296" t="s">
        <v>3322</v>
      </c>
      <c r="B46" s="4">
        <v>82.981761578873758</v>
      </c>
      <c r="C46" s="4">
        <v>71.046367818005919</v>
      </c>
      <c r="D46" s="4">
        <v>-11.935393760867752</v>
      </c>
      <c r="E46" s="1426" t="str">
        <f>IF(       0&lt;0.01,"***",IF(       0&lt;0.05,"**",IF(       0&lt;0.1,"*","NS")))</f>
        <v>***</v>
      </c>
      <c r="G46" s="296" t="s">
        <v>3426</v>
      </c>
      <c r="H46" s="4">
        <v>82.981761578873758</v>
      </c>
      <c r="I46" s="4">
        <v>73.554841103101182</v>
      </c>
      <c r="J46" s="4">
        <v>-9.4269204757725102</v>
      </c>
      <c r="K46" s="1427" t="str">
        <f>IF(       0.001&lt;0.01,"***",IF(       0.001&lt;0.05,"**",IF(       0.001&lt;0.1,"*","NS")))</f>
        <v>***</v>
      </c>
      <c r="L46" s="4">
        <v>62.311097843564148</v>
      </c>
      <c r="M46" s="4">
        <v>-20.670663735309581</v>
      </c>
      <c r="N46" s="1428" t="str">
        <f>IF(       0&lt;0.01,"***",IF(       0&lt;0.05,"**",IF(       0&lt;0.1,"*","NS")))</f>
        <v>***</v>
      </c>
      <c r="P46" s="296" t="s">
        <v>3545</v>
      </c>
      <c r="Q46" s="4">
        <v>80.445359355510604</v>
      </c>
      <c r="R46" s="4">
        <v>62.311097843564148</v>
      </c>
      <c r="S46" s="4">
        <v>-18.13426151194647</v>
      </c>
      <c r="T46" s="1429" t="str">
        <f>IF(       0.001&lt;0.01,"***",IF(       0.001&lt;0.05,"**",IF(       0.001&lt;0.1,"*","NS")))</f>
        <v>***</v>
      </c>
    </row>
    <row r="47" spans="1:20" x14ac:dyDescent="0.2">
      <c r="A47" s="296" t="s">
        <v>3323</v>
      </c>
      <c r="B47" s="4" t="s">
        <v>6067</v>
      </c>
      <c r="C47" s="4" t="s">
        <v>6067</v>
      </c>
      <c r="D47" s="4" t="s">
        <v>6067</v>
      </c>
      <c r="E47" s="4" t="s">
        <v>6067</v>
      </c>
      <c r="G47" s="296" t="s">
        <v>3427</v>
      </c>
      <c r="H47" s="4" t="s">
        <v>6067</v>
      </c>
      <c r="I47" s="4" t="s">
        <v>6067</v>
      </c>
      <c r="J47" s="4" t="s">
        <v>6067</v>
      </c>
      <c r="K47" s="4" t="s">
        <v>6067</v>
      </c>
      <c r="L47" s="4" t="s">
        <v>6067</v>
      </c>
      <c r="M47" s="4" t="s">
        <v>6067</v>
      </c>
      <c r="N47" s="4" t="s">
        <v>6067</v>
      </c>
      <c r="P47" s="296" t="s">
        <v>3546</v>
      </c>
      <c r="Q47" s="4" t="s">
        <v>6067</v>
      </c>
      <c r="R47" s="4" t="s">
        <v>6067</v>
      </c>
      <c r="S47" s="4" t="s">
        <v>6067</v>
      </c>
      <c r="T47" s="4" t="s">
        <v>6067</v>
      </c>
    </row>
    <row r="48" spans="1:20" x14ac:dyDescent="0.2">
      <c r="A48" s="296" t="s">
        <v>3324</v>
      </c>
      <c r="B48" s="4">
        <v>47.310638550690861</v>
      </c>
      <c r="C48" s="4">
        <v>34.343918543305293</v>
      </c>
      <c r="D48" s="4">
        <v>-12.96672000738552</v>
      </c>
      <c r="E48" s="1430" t="str">
        <f>IF(       0.015&lt;0.01,"***",IF(       0.015&lt;0.05,"**",IF(       0.015&lt;0.1,"*","NS")))</f>
        <v>**</v>
      </c>
      <c r="G48" s="296" t="s">
        <v>3428</v>
      </c>
      <c r="H48" s="4">
        <v>47.310638550690861</v>
      </c>
      <c r="I48" s="4">
        <v>34.013731217798806</v>
      </c>
      <c r="J48" s="4">
        <v>-13.296907332891971</v>
      </c>
      <c r="K48" s="1431" t="str">
        <f>IF(       0.014&lt;0.01,"***",IF(       0.014&lt;0.05,"**",IF(       0.014&lt;0.1,"*","NS")))</f>
        <v>**</v>
      </c>
      <c r="L48" s="4">
        <v>35.330806436731599</v>
      </c>
      <c r="M48" s="4">
        <v>-11.979832113959242</v>
      </c>
      <c r="N48" s="1432" t="str">
        <f>IF(       0.147&lt;0.01,"***",IF(       0.147&lt;0.05,"**",IF(       0.147&lt;0.1,"*","NS")))</f>
        <v>NS</v>
      </c>
      <c r="P48" s="296" t="s">
        <v>3547</v>
      </c>
      <c r="Q48" s="4">
        <v>45.176243386999872</v>
      </c>
      <c r="R48" s="4">
        <v>35.330806436731599</v>
      </c>
      <c r="S48" s="4">
        <v>-9.8454369502683914</v>
      </c>
      <c r="T48" s="1433" t="str">
        <f>IF(       0.216&lt;0.01,"***",IF(       0.216&lt;0.05,"**",IF(       0.216&lt;0.1,"*","NS")))</f>
        <v>NS</v>
      </c>
    </row>
    <row r="49" spans="1:20" x14ac:dyDescent="0.2">
      <c r="A49" s="296" t="s">
        <v>3325</v>
      </c>
      <c r="B49" s="4">
        <v>83.785408157405769</v>
      </c>
      <c r="C49" s="4">
        <v>78.588463595674881</v>
      </c>
      <c r="D49" s="4">
        <v>-5.196944561730886</v>
      </c>
      <c r="E49" s="1434" t="str">
        <f>IF(       0.06&lt;0.01,"***",IF(       0.06&lt;0.05,"**",IF(       0.06&lt;0.1,"*","NS")))</f>
        <v>*</v>
      </c>
      <c r="G49" s="296" t="s">
        <v>3429</v>
      </c>
      <c r="H49" s="4">
        <v>83.785408157405769</v>
      </c>
      <c r="I49" s="4">
        <v>82.340850007695806</v>
      </c>
      <c r="J49" s="4">
        <v>-1.444558149709954</v>
      </c>
      <c r="K49" s="1435" t="str">
        <f>IF(       0.656&lt;0.01,"***",IF(       0.656&lt;0.05,"**",IF(       0.656&lt;0.1,"*","NS")))</f>
        <v>NS</v>
      </c>
      <c r="L49" s="4">
        <v>71.923268236250451</v>
      </c>
      <c r="M49" s="4">
        <v>-11.862139921155402</v>
      </c>
      <c r="N49" s="1436" t="str">
        <f>IF(       0.003&lt;0.01,"***",IF(       0.003&lt;0.05,"**",IF(       0.003&lt;0.1,"*","NS")))</f>
        <v>***</v>
      </c>
      <c r="P49" s="296" t="s">
        <v>3548</v>
      </c>
      <c r="Q49" s="4">
        <v>83.358153951494344</v>
      </c>
      <c r="R49" s="4">
        <v>71.923268236250451</v>
      </c>
      <c r="S49" s="4">
        <v>-11.434885715243777</v>
      </c>
      <c r="T49" s="1437" t="str">
        <f>IF(       0.003&lt;0.01,"***",IF(       0.003&lt;0.05,"**",IF(       0.003&lt;0.1,"*","NS")))</f>
        <v>***</v>
      </c>
    </row>
    <row r="50" spans="1:20" x14ac:dyDescent="0.2">
      <c r="A50" s="296" t="s">
        <v>3326</v>
      </c>
      <c r="B50" s="4">
        <v>68.228420164871807</v>
      </c>
      <c r="C50" s="4">
        <v>59.552176206176917</v>
      </c>
      <c r="D50" s="4">
        <v>-8.6762439586949007</v>
      </c>
      <c r="E50" s="1438" t="str">
        <f>IF(       0.003&lt;0.01,"***",IF(       0.003&lt;0.05,"**",IF(       0.003&lt;0.1,"*","NS")))</f>
        <v>***</v>
      </c>
      <c r="G50" s="296" t="s">
        <v>3430</v>
      </c>
      <c r="H50" s="4">
        <v>68.228420164871807</v>
      </c>
      <c r="I50" s="4">
        <v>64.238594743174517</v>
      </c>
      <c r="J50" s="4">
        <v>-3.9898254216972955</v>
      </c>
      <c r="K50" s="1439" t="str">
        <f>IF(       0.141&lt;0.01,"***",IF(       0.141&lt;0.05,"**",IF(       0.141&lt;0.1,"*","NS")))</f>
        <v>NS</v>
      </c>
      <c r="L50" s="4">
        <v>44.410778527309752</v>
      </c>
      <c r="M50" s="4">
        <v>-23.817641637561994</v>
      </c>
      <c r="N50" s="1440" t="str">
        <f>IF(       0&lt;0.01,"***",IF(       0&lt;0.05,"**",IF(       0&lt;0.1,"*","NS")))</f>
        <v>***</v>
      </c>
      <c r="P50" s="296" t="s">
        <v>3549</v>
      </c>
      <c r="Q50" s="4">
        <v>66.77223316695067</v>
      </c>
      <c r="R50" s="4">
        <v>44.410778527309752</v>
      </c>
      <c r="S50" s="4">
        <v>-22.361454639641355</v>
      </c>
      <c r="T50" s="1441" t="str">
        <f>IF(       0&lt;0.01,"***",IF(       0&lt;0.05,"**",IF(       0&lt;0.1,"*","NS")))</f>
        <v>***</v>
      </c>
    </row>
    <row r="51" spans="1:20" x14ac:dyDescent="0.2">
      <c r="A51" s="296" t="s">
        <v>3327</v>
      </c>
      <c r="B51" s="4">
        <v>89.240979466573449</v>
      </c>
      <c r="C51" s="4">
        <v>81.618656332334723</v>
      </c>
      <c r="D51" s="4">
        <v>-7.6223231342386901</v>
      </c>
      <c r="E51" s="1442" t="str">
        <f>IF(       0.001&lt;0.01,"***",IF(       0.001&lt;0.05,"**",IF(       0.001&lt;0.1,"*","NS")))</f>
        <v>***</v>
      </c>
      <c r="G51" s="296" t="s">
        <v>3431</v>
      </c>
      <c r="H51" s="4">
        <v>89.240979466573449</v>
      </c>
      <c r="I51" s="4">
        <v>83.572490992374895</v>
      </c>
      <c r="J51" s="4">
        <v>-5.6684884741985186</v>
      </c>
      <c r="K51" s="1443" t="str">
        <f>IF(       0.012&lt;0.01,"***",IF(       0.012&lt;0.05,"**",IF(       0.012&lt;0.1,"*","NS")))</f>
        <v>**</v>
      </c>
      <c r="L51" s="4">
        <v>76.04657822664683</v>
      </c>
      <c r="M51" s="4">
        <v>-13.194401239926592</v>
      </c>
      <c r="N51" s="1444" t="str">
        <f>IF(       0.011&lt;0.01,"***",IF(       0.011&lt;0.05,"**",IF(       0.011&lt;0.1,"*","NS")))</f>
        <v>**</v>
      </c>
      <c r="P51" s="296" t="s">
        <v>3550</v>
      </c>
      <c r="Q51" s="4">
        <v>88.013338348074384</v>
      </c>
      <c r="R51" s="4">
        <v>76.04657822664683</v>
      </c>
      <c r="S51" s="4">
        <v>-11.966760121427562</v>
      </c>
      <c r="T51" s="1445" t="str">
        <f>IF(       0.019&lt;0.01,"***",IF(       0.019&lt;0.05,"**",IF(       0.019&lt;0.1,"*","NS")))</f>
        <v>**</v>
      </c>
    </row>
    <row r="52" spans="1:20" x14ac:dyDescent="0.2">
      <c r="A52" s="296" t="s">
        <v>3328</v>
      </c>
      <c r="B52" s="4">
        <v>92.117722496916699</v>
      </c>
      <c r="C52" s="4">
        <v>84.110059775949495</v>
      </c>
      <c r="D52" s="4">
        <v>-8.0076627209671472</v>
      </c>
      <c r="E52" s="1446" t="str">
        <f>IF(       0&lt;0.01,"***",IF(       0&lt;0.05,"**",IF(       0&lt;0.1,"*","NS")))</f>
        <v>***</v>
      </c>
      <c r="G52" s="296" t="s">
        <v>3432</v>
      </c>
      <c r="H52" s="4">
        <v>92.117722496916699</v>
      </c>
      <c r="I52" s="4">
        <v>90.376965056932193</v>
      </c>
      <c r="J52" s="4">
        <v>-1.7407574399845063</v>
      </c>
      <c r="K52" s="1447" t="str">
        <f>IF(       0.331&lt;0.01,"***",IF(       0.331&lt;0.05,"**",IF(       0.331&lt;0.1,"*","NS")))</f>
        <v>NS</v>
      </c>
      <c r="L52" s="4">
        <v>63.8690351376232</v>
      </c>
      <c r="M52" s="4">
        <v>-28.248687359293044</v>
      </c>
      <c r="N52" s="1448" t="str">
        <f>IF(       0&lt;0.01,"***",IF(       0&lt;0.05,"**",IF(       0&lt;0.1,"*","NS")))</f>
        <v>***</v>
      </c>
      <c r="P52" s="296" t="s">
        <v>3551</v>
      </c>
      <c r="Q52" s="4">
        <v>91.773289924060421</v>
      </c>
      <c r="R52" s="4">
        <v>63.8690351376232</v>
      </c>
      <c r="S52" s="4">
        <v>-27.904254786437352</v>
      </c>
      <c r="T52" s="1449" t="str">
        <f>IF(       0&lt;0.01,"***",IF(       0&lt;0.05,"**",IF(       0&lt;0.1,"*","NS")))</f>
        <v>***</v>
      </c>
    </row>
    <row r="53" spans="1:20" x14ac:dyDescent="0.2">
      <c r="A53" s="296" t="s">
        <v>3329</v>
      </c>
      <c r="B53" s="4">
        <v>78.748455043860787</v>
      </c>
      <c r="C53" s="4">
        <v>70.176664147561453</v>
      </c>
      <c r="D53" s="4">
        <v>-8.5717908962993281</v>
      </c>
      <c r="E53" s="1450" t="str">
        <f>IF(       0.009&lt;0.01,"***",IF(       0.009&lt;0.05,"**",IF(       0.009&lt;0.1,"*","NS")))</f>
        <v>***</v>
      </c>
      <c r="G53" s="296" t="s">
        <v>3433</v>
      </c>
      <c r="H53" s="4">
        <v>78.748455043860787</v>
      </c>
      <c r="I53" s="4">
        <v>70.422424804393032</v>
      </c>
      <c r="J53" s="4">
        <v>-8.3260302394677339</v>
      </c>
      <c r="K53" s="1451" t="str">
        <f>IF(       0.021&lt;0.01,"***",IF(       0.021&lt;0.05,"**",IF(       0.021&lt;0.1,"*","NS")))</f>
        <v>**</v>
      </c>
      <c r="L53" s="4">
        <v>69.500943639625532</v>
      </c>
      <c r="M53" s="4">
        <v>-9.2475114042352917</v>
      </c>
      <c r="N53" s="1452" t="str">
        <f>IF(       0.075&lt;0.01,"***",IF(       0.075&lt;0.05,"**",IF(       0.075&lt;0.1,"*","NS")))</f>
        <v>*</v>
      </c>
      <c r="P53" s="296" t="s">
        <v>3552</v>
      </c>
      <c r="Q53" s="4">
        <v>77.127235518657713</v>
      </c>
      <c r="R53" s="4">
        <v>69.500943639625532</v>
      </c>
      <c r="S53" s="4">
        <v>-7.6262918790322409</v>
      </c>
      <c r="T53" s="1453" t="str">
        <f>IF(       0.132&lt;0.01,"***",IF(       0.132&lt;0.05,"**",IF(       0.132&lt;0.1,"*","NS")))</f>
        <v>NS</v>
      </c>
    </row>
    <row r="54" spans="1:20" x14ac:dyDescent="0.2">
      <c r="A54" s="296" t="s">
        <v>3330</v>
      </c>
      <c r="B54" s="4">
        <v>83.950760881248243</v>
      </c>
      <c r="C54" s="4">
        <v>78.765290747306352</v>
      </c>
      <c r="D54" s="4">
        <v>-5.1854701339418705</v>
      </c>
      <c r="E54" s="1454" t="str">
        <f>IF(       0.035&lt;0.01,"***",IF(       0.035&lt;0.05,"**",IF(       0.035&lt;0.1,"*","NS")))</f>
        <v>**</v>
      </c>
      <c r="G54" s="296" t="s">
        <v>3434</v>
      </c>
      <c r="H54" s="4">
        <v>83.950760881248243</v>
      </c>
      <c r="I54" s="4">
        <v>82.357340099462647</v>
      </c>
      <c r="J54" s="4">
        <v>-1.5934207817855874</v>
      </c>
      <c r="K54" s="1455" t="str">
        <f>IF(       0.524&lt;0.01,"***",IF(       0.524&lt;0.05,"**",IF(       0.524&lt;0.1,"*","NS")))</f>
        <v>NS</v>
      </c>
      <c r="L54" s="4">
        <v>69.902449453529044</v>
      </c>
      <c r="M54" s="4">
        <v>-14.04831142771924</v>
      </c>
      <c r="N54" s="1456" t="str">
        <f>IF(       0.001&lt;0.01,"***",IF(       0.001&lt;0.05,"**",IF(       0.001&lt;0.1,"*","NS")))</f>
        <v>***</v>
      </c>
      <c r="P54" s="296" t="s">
        <v>3553</v>
      </c>
      <c r="Q54" s="4">
        <v>83.435758531018124</v>
      </c>
      <c r="R54" s="4">
        <v>69.902449453529044</v>
      </c>
      <c r="S54" s="4">
        <v>-13.533309077489042</v>
      </c>
      <c r="T54" s="1457" t="str">
        <f>IF(       0.001&lt;0.01,"***",IF(       0.001&lt;0.05,"**",IF(       0.001&lt;0.1,"*","NS")))</f>
        <v>***</v>
      </c>
    </row>
    <row r="55" spans="1:20" x14ac:dyDescent="0.2">
      <c r="A55" s="296" t="s">
        <v>3331</v>
      </c>
      <c r="B55" s="4">
        <v>73.374724804564238</v>
      </c>
      <c r="C55" s="4">
        <v>64.666209130504754</v>
      </c>
      <c r="D55" s="4">
        <v>-8.7085156740594751</v>
      </c>
      <c r="E55" s="1458" t="str">
        <f>IF(       0.002&lt;0.01,"***",IF(       0.002&lt;0.05,"**",IF(       0.002&lt;0.1,"*","NS")))</f>
        <v>***</v>
      </c>
      <c r="G55" s="296" t="s">
        <v>3435</v>
      </c>
      <c r="H55" s="4">
        <v>73.374724804564238</v>
      </c>
      <c r="I55" s="4">
        <v>67.338293333325012</v>
      </c>
      <c r="J55" s="4">
        <v>-6.0364314712392231</v>
      </c>
      <c r="K55" s="1459" t="str">
        <f>IF(       0.103&lt;0.01,"***",IF(       0.103&lt;0.05,"**",IF(       0.103&lt;0.1,"*","NS")))</f>
        <v>NS</v>
      </c>
      <c r="L55" s="4">
        <v>57.402550879269569</v>
      </c>
      <c r="M55" s="4">
        <v>-15.972173925294671</v>
      </c>
      <c r="N55" s="1460" t="str">
        <f>IF(       0&lt;0.01,"***",IF(       0&lt;0.05,"**",IF(       0&lt;0.1,"*","NS")))</f>
        <v>***</v>
      </c>
      <c r="P55" s="296" t="s">
        <v>3554</v>
      </c>
      <c r="Q55" s="4">
        <v>71.908493090351215</v>
      </c>
      <c r="R55" s="4">
        <v>57.402550879269569</v>
      </c>
      <c r="S55" s="4">
        <v>-14.505942211081587</v>
      </c>
      <c r="T55" s="1461" t="str">
        <f>IF(       0.003&lt;0.01,"***",IF(       0.003&lt;0.05,"**",IF(       0.003&lt;0.1,"*","NS")))</f>
        <v>***</v>
      </c>
    </row>
    <row r="56" spans="1:20" x14ac:dyDescent="0.2">
      <c r="A56" s="296" t="s">
        <v>5835</v>
      </c>
      <c r="B56" s="4">
        <v>81.878356815736211</v>
      </c>
      <c r="C56" s="4">
        <v>72.403847304398496</v>
      </c>
      <c r="D56" s="4">
        <v>-9.4745095113378976</v>
      </c>
      <c r="E56" s="1462" t="str">
        <f>IF(       0&lt;0.01,"***",IF(       0&lt;0.05,"**",IF(       0&lt;0.1,"*","NS")))</f>
        <v>***</v>
      </c>
      <c r="G56" s="296" t="s">
        <v>5835</v>
      </c>
      <c r="H56" s="4">
        <v>81.878356815736211</v>
      </c>
      <c r="I56" s="4">
        <v>74.998964226184029</v>
      </c>
      <c r="J56" s="4">
        <v>-6.8793925895522019</v>
      </c>
      <c r="K56" s="1463" t="str">
        <f>IF(       0&lt;0.01,"***",IF(       0&lt;0.05,"**",IF(       0&lt;0.1,"*","NS")))</f>
        <v>***</v>
      </c>
      <c r="L56" s="4">
        <v>64.288350043727689</v>
      </c>
      <c r="M56" s="4">
        <v>-17.590006772008813</v>
      </c>
      <c r="N56" s="1464" t="str">
        <f>IF(       0&lt;0.01,"***",IF(       0&lt;0.05,"**",IF(       0&lt;0.1,"*","NS")))</f>
        <v>***</v>
      </c>
      <c r="P56" s="296" t="s">
        <v>5835</v>
      </c>
      <c r="Q56" s="4">
        <v>80.169233732813822</v>
      </c>
      <c r="R56" s="4">
        <v>64.288350043727689</v>
      </c>
      <c r="S56" s="4">
        <v>-15.880883689084509</v>
      </c>
      <c r="T56" s="1465" t="str">
        <f>IF(       0&lt;0.01,"***",IF(       0&lt;0.05,"**",IF(       0&lt;0.1,"*","NS")))</f>
        <v>***</v>
      </c>
    </row>
    <row r="58" spans="1:20" x14ac:dyDescent="0.2">
      <c r="A58" s="296" t="s">
        <v>3332</v>
      </c>
      <c r="G58" s="296" t="s">
        <v>3436</v>
      </c>
      <c r="P58" s="296" t="s">
        <v>3555</v>
      </c>
    </row>
    <row r="59" spans="1:20" s="3" customFormat="1" x14ac:dyDescent="0.2">
      <c r="A59" s="5424" t="s">
        <v>3333</v>
      </c>
      <c r="B59" s="5425" t="s">
        <v>3334</v>
      </c>
      <c r="C59" s="5426" t="s">
        <v>3335</v>
      </c>
      <c r="D59" s="5427" t="s">
        <v>3336</v>
      </c>
      <c r="E59" s="5428" t="s">
        <v>3337</v>
      </c>
      <c r="G59" s="5429" t="s">
        <v>3437</v>
      </c>
      <c r="H59" s="5430" t="s">
        <v>3438</v>
      </c>
      <c r="I59" s="5431" t="s">
        <v>3439</v>
      </c>
      <c r="J59" s="5432" t="s">
        <v>3440</v>
      </c>
      <c r="K59" s="5433" t="s">
        <v>3441</v>
      </c>
      <c r="L59" s="5434" t="s">
        <v>3486</v>
      </c>
      <c r="M59" s="5435" t="s">
        <v>3487</v>
      </c>
      <c r="N59" s="5436" t="s">
        <v>3488</v>
      </c>
      <c r="P59" s="5437" t="s">
        <v>3556</v>
      </c>
      <c r="Q59" s="5438" t="s">
        <v>3557</v>
      </c>
      <c r="R59" s="5439" t="s">
        <v>3558</v>
      </c>
      <c r="S59" s="5440" t="s">
        <v>3559</v>
      </c>
      <c r="T59" s="5441" t="s">
        <v>3560</v>
      </c>
    </row>
    <row r="60" spans="1:20" x14ac:dyDescent="0.2">
      <c r="A60" s="296" t="s">
        <v>3338</v>
      </c>
      <c r="B60" s="4">
        <v>58.445064282592938</v>
      </c>
      <c r="C60" s="4">
        <v>47.645822835270067</v>
      </c>
      <c r="D60" s="4">
        <v>-10.799241447323043</v>
      </c>
      <c r="E60" s="1466" t="str">
        <f>IF(       0&lt;0.01,"***",IF(       0&lt;0.05,"**",IF(       0&lt;0.1,"*","NS")))</f>
        <v>***</v>
      </c>
      <c r="G60" s="296" t="s">
        <v>3442</v>
      </c>
      <c r="H60" s="4">
        <v>58.445064282592938</v>
      </c>
      <c r="I60" s="4">
        <v>50.398851072599307</v>
      </c>
      <c r="J60" s="4">
        <v>-8.0462132099936472</v>
      </c>
      <c r="K60" s="1467" t="str">
        <f>IF(       0.006&lt;0.01,"***",IF(       0.006&lt;0.05,"**",IF(       0.006&lt;0.1,"*","NS")))</f>
        <v>***</v>
      </c>
      <c r="L60" s="4">
        <v>36.734652110363648</v>
      </c>
      <c r="M60" s="4">
        <v>-21.710412172228978</v>
      </c>
      <c r="N60" s="1468" t="str">
        <f>IF(       0&lt;0.01,"***",IF(       0&lt;0.05,"**",IF(       0&lt;0.1,"*","NS")))</f>
        <v>***</v>
      </c>
      <c r="P60" s="296" t="s">
        <v>3561</v>
      </c>
      <c r="Q60" s="4">
        <v>55.470585001958881</v>
      </c>
      <c r="R60" s="4">
        <v>36.734652110363648</v>
      </c>
      <c r="S60" s="4">
        <v>-18.735932891595024</v>
      </c>
      <c r="T60" s="1469" t="str">
        <f>IF(       0.001&lt;0.01,"***",IF(       0.001&lt;0.05,"**",IF(       0.001&lt;0.1,"*","NS")))</f>
        <v>***</v>
      </c>
    </row>
    <row r="61" spans="1:20" x14ac:dyDescent="0.2">
      <c r="A61" s="296" t="s">
        <v>3339</v>
      </c>
      <c r="B61" s="4">
        <v>83.972554785547871</v>
      </c>
      <c r="C61" s="4">
        <v>74.520120447452086</v>
      </c>
      <c r="D61" s="4">
        <v>-9.4524343380957756</v>
      </c>
      <c r="E61" s="1470" t="str">
        <f>IF(       0&lt;0.01,"***",IF(       0&lt;0.05,"**",IF(       0&lt;0.1,"*","NS")))</f>
        <v>***</v>
      </c>
      <c r="G61" s="296" t="s">
        <v>3443</v>
      </c>
      <c r="H61" s="4">
        <v>83.972554785547871</v>
      </c>
      <c r="I61" s="4">
        <v>76.616280602697969</v>
      </c>
      <c r="J61" s="4">
        <v>-7.3562741828498961</v>
      </c>
      <c r="K61" s="1471" t="str">
        <f>IF(       0.001&lt;0.01,"***",IF(       0.001&lt;0.05,"**",IF(       0.001&lt;0.1,"*","NS")))</f>
        <v>***</v>
      </c>
      <c r="L61" s="4">
        <v>69.063466807323408</v>
      </c>
      <c r="M61" s="4">
        <v>-14.909087978224433</v>
      </c>
      <c r="N61" s="1472" t="str">
        <f>IF(       0&lt;0.01,"***",IF(       0&lt;0.05,"**",IF(       0&lt;0.1,"*","NS")))</f>
        <v>***</v>
      </c>
      <c r="P61" s="296" t="s">
        <v>3562</v>
      </c>
      <c r="Q61" s="4">
        <v>81.704699491620389</v>
      </c>
      <c r="R61" s="4">
        <v>69.063466807323408</v>
      </c>
      <c r="S61" s="4">
        <v>-12.641232684297227</v>
      </c>
      <c r="T61" s="1473" t="str">
        <f>IF(       0.001&lt;0.01,"***",IF(       0.001&lt;0.05,"**",IF(       0.001&lt;0.1,"*","NS")))</f>
        <v>***</v>
      </c>
    </row>
    <row r="62" spans="1:20" x14ac:dyDescent="0.2">
      <c r="A62" s="296" t="s">
        <v>3340</v>
      </c>
      <c r="B62" s="4">
        <v>70.175641013852641</v>
      </c>
      <c r="C62" s="4">
        <v>50.970486893722061</v>
      </c>
      <c r="D62" s="4">
        <v>-19.205154120130835</v>
      </c>
      <c r="E62" s="1474" t="str">
        <f>IF(       0&lt;0.01,"***",IF(       0&lt;0.05,"**",IF(       0&lt;0.1,"*","NS")))</f>
        <v>***</v>
      </c>
      <c r="G62" s="296" t="s">
        <v>3444</v>
      </c>
      <c r="H62" s="4">
        <v>70.175641013852641</v>
      </c>
      <c r="I62" s="4">
        <v>53.775024593143449</v>
      </c>
      <c r="J62" s="4">
        <v>-16.40061642070917</v>
      </c>
      <c r="K62" s="1475" t="str">
        <f>IF(       0&lt;0.01,"***",IF(       0&lt;0.05,"**",IF(       0&lt;0.1,"*","NS")))</f>
        <v>***</v>
      </c>
      <c r="L62" s="4">
        <v>42.626575380546548</v>
      </c>
      <c r="M62" s="4">
        <v>-27.549065633306043</v>
      </c>
      <c r="N62" s="1476" t="str">
        <f>IF(       0&lt;0.01,"***",IF(       0&lt;0.05,"**",IF(       0&lt;0.1,"*","NS")))</f>
        <v>***</v>
      </c>
      <c r="P62" s="296" t="s">
        <v>3563</v>
      </c>
      <c r="Q62" s="4">
        <v>65.992667304219836</v>
      </c>
      <c r="R62" s="4">
        <v>42.626575380546548</v>
      </c>
      <c r="S62" s="4">
        <v>-23.366091923672855</v>
      </c>
      <c r="T62" s="1477" t="str">
        <f>IF(       0&lt;0.01,"***",IF(       0&lt;0.05,"**",IF(       0&lt;0.1,"*","NS")))</f>
        <v>***</v>
      </c>
    </row>
    <row r="63" spans="1:20" x14ac:dyDescent="0.2">
      <c r="A63" s="296" t="s">
        <v>3341</v>
      </c>
      <c r="B63" s="4">
        <v>74.327226495988924</v>
      </c>
      <c r="C63" s="4">
        <v>64.756671791802034</v>
      </c>
      <c r="D63" s="4">
        <v>-9.5705547041868506</v>
      </c>
      <c r="E63" s="1478" t="str">
        <f>IF(       0.002&lt;0.01,"***",IF(       0.002&lt;0.05,"**",IF(       0.002&lt;0.1,"*","NS")))</f>
        <v>***</v>
      </c>
      <c r="G63" s="296" t="s">
        <v>3445</v>
      </c>
      <c r="H63" s="4">
        <v>74.327226495988924</v>
      </c>
      <c r="I63" s="4">
        <v>67.920594521525715</v>
      </c>
      <c r="J63" s="4">
        <v>-6.4066319744631759</v>
      </c>
      <c r="K63" s="1479" t="str">
        <f>IF(       0.017&lt;0.01,"***",IF(       0.017&lt;0.05,"**",IF(       0.017&lt;0.1,"*","NS")))</f>
        <v>**</v>
      </c>
      <c r="L63" s="4">
        <v>53.379232124280932</v>
      </c>
      <c r="M63" s="4">
        <v>-20.947994371708191</v>
      </c>
      <c r="N63" s="1480" t="str">
        <f>IF(       0&lt;0.01,"***",IF(       0&lt;0.05,"**",IF(       0&lt;0.1,"*","NS")))</f>
        <v>***</v>
      </c>
      <c r="P63" s="296" t="s">
        <v>3564</v>
      </c>
      <c r="Q63" s="4">
        <v>72.385175728218371</v>
      </c>
      <c r="R63" s="4">
        <v>53.379232124280932</v>
      </c>
      <c r="S63" s="4">
        <v>-19.005943603937514</v>
      </c>
      <c r="T63" s="1481" t="str">
        <f>IF(       0.001&lt;0.01,"***",IF(       0.001&lt;0.05,"**",IF(       0.001&lt;0.1,"*","NS")))</f>
        <v>***</v>
      </c>
    </row>
    <row r="64" spans="1:20" x14ac:dyDescent="0.2">
      <c r="A64" s="296" t="s">
        <v>3342</v>
      </c>
      <c r="B64" s="4">
        <v>69.118330096522541</v>
      </c>
      <c r="C64" s="4">
        <v>71.848356878957432</v>
      </c>
      <c r="D64" s="4">
        <v>2.730026782434932</v>
      </c>
      <c r="E64" s="1482" t="str">
        <f>IF(       0.417&lt;0.01,"***",IF(       0.417&lt;0.05,"**",IF(       0.417&lt;0.1,"*","NS")))</f>
        <v>NS</v>
      </c>
      <c r="G64" s="296" t="s">
        <v>3446</v>
      </c>
      <c r="H64" s="4">
        <v>69.118330096522541</v>
      </c>
      <c r="I64" s="4">
        <v>73.683149438051871</v>
      </c>
      <c r="J64" s="4">
        <v>4.5648193415293257</v>
      </c>
      <c r="K64" s="1483" t="str">
        <f>IF(       0.17&lt;0.01,"***",IF(       0.17&lt;0.05,"**",IF(       0.17&lt;0.1,"*","NS")))</f>
        <v>NS</v>
      </c>
      <c r="L64" s="4">
        <v>63.260852511234248</v>
      </c>
      <c r="M64" s="4">
        <v>-5.8574775852882821</v>
      </c>
      <c r="N64" s="1484" t="str">
        <f>IF(       0.383&lt;0.01,"***",IF(       0.383&lt;0.05,"**",IF(       0.383&lt;0.1,"*","NS")))</f>
        <v>NS</v>
      </c>
      <c r="P64" s="296" t="s">
        <v>3565</v>
      </c>
      <c r="Q64" s="4">
        <v>70.388167835180411</v>
      </c>
      <c r="R64" s="4">
        <v>63.260852511234248</v>
      </c>
      <c r="S64" s="4">
        <v>-7.1273153239460854</v>
      </c>
      <c r="T64" s="1485" t="str">
        <f>IF(       0.272&lt;0.01,"***",IF(       0.272&lt;0.05,"**",IF(       0.272&lt;0.1,"*","NS")))</f>
        <v>NS</v>
      </c>
    </row>
    <row r="65" spans="1:20" x14ac:dyDescent="0.2">
      <c r="A65" s="296" t="s">
        <v>3343</v>
      </c>
      <c r="B65" s="4">
        <v>79.474637507659949</v>
      </c>
      <c r="C65" s="4">
        <v>68.593803664809315</v>
      </c>
      <c r="D65" s="4">
        <v>-10.88083384285045</v>
      </c>
      <c r="E65" s="1486" t="str">
        <f>IF(       0&lt;0.01,"***",IF(       0&lt;0.05,"**",IF(       0&lt;0.1,"*","NS")))</f>
        <v>***</v>
      </c>
      <c r="G65" s="296" t="s">
        <v>3447</v>
      </c>
      <c r="H65" s="4">
        <v>79.474637507659949</v>
      </c>
      <c r="I65" s="4">
        <v>71.316706943449859</v>
      </c>
      <c r="J65" s="4">
        <v>-8.1579305642103446</v>
      </c>
      <c r="K65" s="1487" t="str">
        <f>IF(       0.005&lt;0.01,"***",IF(       0.005&lt;0.05,"**",IF(       0.005&lt;0.1,"*","NS")))</f>
        <v>***</v>
      </c>
      <c r="L65" s="4">
        <v>60.21662359854183</v>
      </c>
      <c r="M65" s="4">
        <v>-19.258013909118294</v>
      </c>
      <c r="N65" s="1488" t="str">
        <f>IF(       0&lt;0.01,"***",IF(       0&lt;0.05,"**",IF(       0&lt;0.1,"*","NS")))</f>
        <v>***</v>
      </c>
      <c r="P65" s="296" t="s">
        <v>3566</v>
      </c>
      <c r="Q65" s="4">
        <v>77.0890500269944</v>
      </c>
      <c r="R65" s="4">
        <v>60.21662359854183</v>
      </c>
      <c r="S65" s="4">
        <v>-16.872426428453419</v>
      </c>
      <c r="T65" s="1489" t="str">
        <f>IF(       0&lt;0.01,"***",IF(       0&lt;0.05,"**",IF(       0&lt;0.1,"*","NS")))</f>
        <v>***</v>
      </c>
    </row>
    <row r="66" spans="1:20" x14ac:dyDescent="0.2">
      <c r="A66" s="296" t="s">
        <v>12</v>
      </c>
      <c r="B66" s="4" t="s">
        <v>6067</v>
      </c>
      <c r="C66" s="4" t="s">
        <v>6067</v>
      </c>
      <c r="D66" s="4" t="s">
        <v>6067</v>
      </c>
      <c r="E66" s="4" t="s">
        <v>6067</v>
      </c>
      <c r="G66" s="296" t="s">
        <v>12</v>
      </c>
      <c r="H66" s="4" t="s">
        <v>6067</v>
      </c>
      <c r="I66" s="4" t="s">
        <v>6067</v>
      </c>
      <c r="J66" s="4" t="s">
        <v>6067</v>
      </c>
      <c r="K66" s="4" t="s">
        <v>6067</v>
      </c>
      <c r="L66" s="4" t="s">
        <v>6067</v>
      </c>
      <c r="M66" s="4" t="s">
        <v>6067</v>
      </c>
      <c r="N66" s="4" t="s">
        <v>6067</v>
      </c>
      <c r="P66" s="296" t="s">
        <v>12</v>
      </c>
      <c r="Q66" s="4" t="s">
        <v>6067</v>
      </c>
      <c r="R66" s="4" t="s">
        <v>6067</v>
      </c>
      <c r="S66" s="4" t="s">
        <v>6067</v>
      </c>
      <c r="T66" s="4" t="s">
        <v>6067</v>
      </c>
    </row>
    <row r="67" spans="1:20" x14ac:dyDescent="0.2">
      <c r="A67" s="296" t="s">
        <v>3344</v>
      </c>
      <c r="B67" s="4">
        <v>42.590426487783738</v>
      </c>
      <c r="C67" s="4">
        <v>27.944247985867982</v>
      </c>
      <c r="D67" s="4">
        <v>-14.646178501915918</v>
      </c>
      <c r="E67" s="1490" t="str">
        <f>IF(       0.005&lt;0.01,"***",IF(       0.005&lt;0.05,"**",IF(       0.005&lt;0.1,"*","NS")))</f>
        <v>***</v>
      </c>
      <c r="G67" s="296" t="s">
        <v>3448</v>
      </c>
      <c r="H67" s="4">
        <v>42.590426487783738</v>
      </c>
      <c r="I67" s="4">
        <v>27.754236737616839</v>
      </c>
      <c r="J67" s="4">
        <v>-14.836189750167215</v>
      </c>
      <c r="K67" s="1491" t="str">
        <f>IF(       0.004&lt;0.01,"***",IF(       0.004&lt;0.05,"**",IF(       0.004&lt;0.1,"*","NS")))</f>
        <v>***</v>
      </c>
      <c r="L67" s="4">
        <v>28.526100821804029</v>
      </c>
      <c r="M67" s="4">
        <v>-14.064325665979533</v>
      </c>
      <c r="N67" s="1492" t="str">
        <f>IF(       0.033&lt;0.01,"***",IF(       0.033&lt;0.05,"**",IF(       0.033&lt;0.1,"*","NS")))</f>
        <v>**</v>
      </c>
      <c r="P67" s="296" t="s">
        <v>3567</v>
      </c>
      <c r="Q67" s="4">
        <v>39.899807933302938</v>
      </c>
      <c r="R67" s="4">
        <v>28.526100821804029</v>
      </c>
      <c r="S67" s="4">
        <v>-11.37370711149887</v>
      </c>
      <c r="T67" s="1493" t="str">
        <f>IF(       0.063&lt;0.01,"***",IF(       0.063&lt;0.05,"**",IF(       0.063&lt;0.1,"*","NS")))</f>
        <v>*</v>
      </c>
    </row>
    <row r="68" spans="1:20" x14ac:dyDescent="0.2">
      <c r="A68" s="296" t="s">
        <v>3345</v>
      </c>
      <c r="B68" s="4">
        <v>80.755407846511432</v>
      </c>
      <c r="C68" s="4">
        <v>71.821967174120175</v>
      </c>
      <c r="D68" s="4">
        <v>-8.9334406723913471</v>
      </c>
      <c r="E68" s="1494" t="str">
        <f>IF(       0.001&lt;0.01,"***",IF(       0.001&lt;0.05,"**",IF(       0.001&lt;0.1,"*","NS")))</f>
        <v>***</v>
      </c>
      <c r="G68" s="296" t="s">
        <v>3449</v>
      </c>
      <c r="H68" s="4">
        <v>80.755407846511432</v>
      </c>
      <c r="I68" s="4">
        <v>75.452270521907522</v>
      </c>
      <c r="J68" s="4">
        <v>-5.3031373246039504</v>
      </c>
      <c r="K68" s="1495" t="str">
        <f>IF(       0.067&lt;0.01,"***",IF(       0.067&lt;0.05,"**",IF(       0.067&lt;0.1,"*","NS")))</f>
        <v>*</v>
      </c>
      <c r="L68" s="4">
        <v>66.16722287442623</v>
      </c>
      <c r="M68" s="4">
        <v>-14.588184972085434</v>
      </c>
      <c r="N68" s="1496" t="str">
        <f>IF(       0&lt;0.01,"***",IF(       0&lt;0.05,"**",IF(       0&lt;0.1,"*","NS")))</f>
        <v>***</v>
      </c>
      <c r="P68" s="296" t="s">
        <v>3568</v>
      </c>
      <c r="Q68" s="4">
        <v>78.865298435829828</v>
      </c>
      <c r="R68" s="4">
        <v>66.16722287442623</v>
      </c>
      <c r="S68" s="4">
        <v>-12.698075561403487</v>
      </c>
      <c r="T68" s="1497" t="str">
        <f>IF(       0&lt;0.01,"***",IF(       0&lt;0.05,"**",IF(       0&lt;0.1,"*","NS")))</f>
        <v>***</v>
      </c>
    </row>
    <row r="69" spans="1:20" x14ac:dyDescent="0.2">
      <c r="A69" s="296" t="s">
        <v>3346</v>
      </c>
      <c r="B69" s="4">
        <v>66.409726181291632</v>
      </c>
      <c r="C69" s="4">
        <v>54.781093684290823</v>
      </c>
      <c r="D69" s="4">
        <v>-11.628632497000684</v>
      </c>
      <c r="E69" s="1498" t="str">
        <f>IF(       0&lt;0.01,"***",IF(       0&lt;0.05,"**",IF(       0&lt;0.1,"*","NS")))</f>
        <v>***</v>
      </c>
      <c r="G69" s="296" t="s">
        <v>3450</v>
      </c>
      <c r="H69" s="4">
        <v>66.409726181291632</v>
      </c>
      <c r="I69" s="4">
        <v>58.042969716388093</v>
      </c>
      <c r="J69" s="4">
        <v>-8.3667564649037711</v>
      </c>
      <c r="K69" s="1499" t="str">
        <f>IF(       0.001&lt;0.01,"***",IF(       0.001&lt;0.05,"**",IF(       0.001&lt;0.1,"*","NS")))</f>
        <v>***</v>
      </c>
      <c r="L69" s="4">
        <v>44.092283901321899</v>
      </c>
      <c r="M69" s="4">
        <v>-22.317442279969491</v>
      </c>
      <c r="N69" s="1500" t="str">
        <f>IF(       0&lt;0.01,"***",IF(       0&lt;0.05,"**",IF(       0&lt;0.1,"*","NS")))</f>
        <v>***</v>
      </c>
      <c r="P69" s="296" t="s">
        <v>3569</v>
      </c>
      <c r="Q69" s="4">
        <v>63.176276193630002</v>
      </c>
      <c r="R69" s="4">
        <v>44.092283901321899</v>
      </c>
      <c r="S69" s="4">
        <v>-19.083992292307883</v>
      </c>
      <c r="T69" s="1501" t="str">
        <f>IF(       0&lt;0.01,"***",IF(       0&lt;0.05,"**",IF(       0&lt;0.1,"*","NS")))</f>
        <v>***</v>
      </c>
    </row>
    <row r="70" spans="1:20" x14ac:dyDescent="0.2">
      <c r="A70" s="296" t="s">
        <v>3347</v>
      </c>
      <c r="B70" s="4">
        <v>88.0723278796778</v>
      </c>
      <c r="C70" s="4">
        <v>79.145042071228687</v>
      </c>
      <c r="D70" s="4">
        <v>-8.927285808449211</v>
      </c>
      <c r="E70" s="1502" t="str">
        <f>IF(       0&lt;0.01,"***",IF(       0&lt;0.05,"**",IF(       0&lt;0.1,"*","NS")))</f>
        <v>***</v>
      </c>
      <c r="G70" s="296" t="s">
        <v>3451</v>
      </c>
      <c r="H70" s="4">
        <v>88.0723278796778</v>
      </c>
      <c r="I70" s="4">
        <v>80.939688752069259</v>
      </c>
      <c r="J70" s="4">
        <v>-7.1326391276086891</v>
      </c>
      <c r="K70" s="1503" t="str">
        <f>IF(       0&lt;0.01,"***",IF(       0&lt;0.05,"**",IF(       0&lt;0.1,"*","NS")))</f>
        <v>***</v>
      </c>
      <c r="L70" s="4">
        <v>74.274962001960276</v>
      </c>
      <c r="M70" s="4">
        <v>-13.79736587771737</v>
      </c>
      <c r="N70" s="1504" t="str">
        <f>IF(       0.001&lt;0.01,"***",IF(       0.001&lt;0.05,"**",IF(       0.001&lt;0.1,"*","NS")))</f>
        <v>***</v>
      </c>
      <c r="P70" s="296" t="s">
        <v>3570</v>
      </c>
      <c r="Q70" s="4">
        <v>86.205985776567047</v>
      </c>
      <c r="R70" s="4">
        <v>74.274962001960276</v>
      </c>
      <c r="S70" s="4">
        <v>-11.931023774606734</v>
      </c>
      <c r="T70" s="1505" t="str">
        <f>IF(       0.004&lt;0.01,"***",IF(       0.004&lt;0.05,"**",IF(       0.004&lt;0.1,"*","NS")))</f>
        <v>***</v>
      </c>
    </row>
    <row r="71" spans="1:20" x14ac:dyDescent="0.2">
      <c r="A71" s="296" t="s">
        <v>3348</v>
      </c>
      <c r="B71" s="4">
        <v>90.748557431162084</v>
      </c>
      <c r="C71" s="4">
        <v>80.568834272440355</v>
      </c>
      <c r="D71" s="4">
        <v>-10.179723158721924</v>
      </c>
      <c r="E71" s="1506" t="str">
        <f>IF(       0&lt;0.01,"***",IF(       0&lt;0.05,"**",IF(       0&lt;0.1,"*","NS")))</f>
        <v>***</v>
      </c>
      <c r="G71" s="296" t="s">
        <v>3452</v>
      </c>
      <c r="H71" s="4">
        <v>90.748557431162084</v>
      </c>
      <c r="I71" s="4">
        <v>84.889813192090543</v>
      </c>
      <c r="J71" s="4">
        <v>-5.858744239071461</v>
      </c>
      <c r="K71" s="1507" t="str">
        <f>IF(       0.003&lt;0.01,"***",IF(       0.003&lt;0.05,"**",IF(       0.003&lt;0.1,"*","NS")))</f>
        <v>***</v>
      </c>
      <c r="L71" s="4">
        <v>69.871092634646445</v>
      </c>
      <c r="M71" s="4">
        <v>-20.877464796515689</v>
      </c>
      <c r="N71" s="1508" t="str">
        <f>IF(       0&lt;0.01,"***",IF(       0&lt;0.05,"**",IF(       0&lt;0.1,"*","NS")))</f>
        <v>***</v>
      </c>
      <c r="P71" s="296" t="s">
        <v>3571</v>
      </c>
      <c r="Q71" s="4">
        <v>89.304858418569125</v>
      </c>
      <c r="R71" s="4">
        <v>69.871092634646445</v>
      </c>
      <c r="S71" s="4">
        <v>-19.433765783922816</v>
      </c>
      <c r="T71" s="1509" t="str">
        <f>IF(       0&lt;0.01,"***",IF(       0&lt;0.05,"**",IF(       0&lt;0.1,"*","NS")))</f>
        <v>***</v>
      </c>
    </row>
    <row r="72" spans="1:20" x14ac:dyDescent="0.2">
      <c r="A72" s="296" t="s">
        <v>3349</v>
      </c>
      <c r="B72" s="4">
        <v>74.739562696371806</v>
      </c>
      <c r="C72" s="4">
        <v>65.813483541149196</v>
      </c>
      <c r="D72" s="4">
        <v>-8.9260791552225154</v>
      </c>
      <c r="E72" s="1510" t="str">
        <f>IF(       0.001&lt;0.01,"***",IF(       0.001&lt;0.05,"**",IF(       0.001&lt;0.1,"*","NS")))</f>
        <v>***</v>
      </c>
      <c r="G72" s="296" t="s">
        <v>3453</v>
      </c>
      <c r="H72" s="4">
        <v>74.739562696371806</v>
      </c>
      <c r="I72" s="4">
        <v>67.252553861366849</v>
      </c>
      <c r="J72" s="4">
        <v>-7.4870088350048727</v>
      </c>
      <c r="K72" s="1511" t="str">
        <f>IF(       0.01&lt;0.01,"***",IF(       0.01&lt;0.05,"**",IF(       0.01&lt;0.1,"*","NS")))</f>
        <v>**</v>
      </c>
      <c r="L72" s="4">
        <v>61.472636140034467</v>
      </c>
      <c r="M72" s="4">
        <v>-13.26692655633733</v>
      </c>
      <c r="N72" s="1512" t="str">
        <f>IF(       0.004&lt;0.01,"***",IF(       0.004&lt;0.05,"**",IF(       0.004&lt;0.1,"*","NS")))</f>
        <v>***</v>
      </c>
      <c r="P72" s="296" t="s">
        <v>3572</v>
      </c>
      <c r="Q72" s="4">
        <v>72.960681022711313</v>
      </c>
      <c r="R72" s="4">
        <v>61.472636140034467</v>
      </c>
      <c r="S72" s="4">
        <v>-11.488044882676874</v>
      </c>
      <c r="T72" s="1513" t="str">
        <f>IF(       0.01&lt;0.01,"***",IF(       0.01&lt;0.05,"**",IF(       0.01&lt;0.1,"*","NS")))</f>
        <v>**</v>
      </c>
    </row>
    <row r="73" spans="1:20" x14ac:dyDescent="0.2">
      <c r="A73" s="296" t="s">
        <v>3350</v>
      </c>
      <c r="B73" s="4">
        <v>80.887409642562204</v>
      </c>
      <c r="C73" s="4">
        <v>76.018678094148726</v>
      </c>
      <c r="D73" s="4">
        <v>-4.8687315484135016</v>
      </c>
      <c r="E73" s="1514" t="str">
        <f>IF(       0.031&lt;0.01,"***",IF(       0.031&lt;0.05,"**",IF(       0.031&lt;0.1,"*","NS")))</f>
        <v>**</v>
      </c>
      <c r="G73" s="296" t="s">
        <v>3454</v>
      </c>
      <c r="H73" s="4">
        <v>80.887409642562204</v>
      </c>
      <c r="I73" s="4">
        <v>79.103814670044528</v>
      </c>
      <c r="J73" s="4">
        <v>-1.783594972517675</v>
      </c>
      <c r="K73" s="1515" t="str">
        <f>IF(       0.447&lt;0.01,"***",IF(       0.447&lt;0.05,"**",IF(       0.447&lt;0.1,"*","NS")))</f>
        <v>NS</v>
      </c>
      <c r="L73" s="4">
        <v>69.082390886278134</v>
      </c>
      <c r="M73" s="4">
        <v>-11.805018756284067</v>
      </c>
      <c r="N73" s="1516" t="str">
        <f>IF(       0&lt;0.01,"***",IF(       0&lt;0.05,"**",IF(       0&lt;0.1,"*","NS")))</f>
        <v>***</v>
      </c>
      <c r="P73" s="296" t="s">
        <v>3573</v>
      </c>
      <c r="Q73" s="4">
        <v>80.281233628547866</v>
      </c>
      <c r="R73" s="4">
        <v>69.082390886278134</v>
      </c>
      <c r="S73" s="4">
        <v>-11.198842742269433</v>
      </c>
      <c r="T73" s="1517" t="str">
        <f>IF(       0&lt;0.01,"***",IF(       0&lt;0.05,"**",IF(       0&lt;0.1,"*","NS")))</f>
        <v>***</v>
      </c>
    </row>
    <row r="74" spans="1:20" x14ac:dyDescent="0.2">
      <c r="A74" s="296" t="s">
        <v>3351</v>
      </c>
      <c r="B74" s="4">
        <v>70.523971808756173</v>
      </c>
      <c r="C74" s="4">
        <v>55.178993004875821</v>
      </c>
      <c r="D74" s="4">
        <v>-15.344978803880373</v>
      </c>
      <c r="E74" s="1518" t="str">
        <f>IF(       0&lt;0.01,"***",IF(       0&lt;0.05,"**",IF(       0&lt;0.1,"*","NS")))</f>
        <v>***</v>
      </c>
      <c r="G74" s="296" t="s">
        <v>3455</v>
      </c>
      <c r="H74" s="4">
        <v>70.523971808756173</v>
      </c>
      <c r="I74" s="4">
        <v>57.116613098309621</v>
      </c>
      <c r="J74" s="4">
        <v>-13.407358710446655</v>
      </c>
      <c r="K74" s="1519" t="str">
        <f>IF(       0&lt;0.01,"***",IF(       0&lt;0.05,"**",IF(       0&lt;0.1,"*","NS")))</f>
        <v>***</v>
      </c>
      <c r="L74" s="4">
        <v>48.769527820457611</v>
      </c>
      <c r="M74" s="4">
        <v>-21.754443988298295</v>
      </c>
      <c r="N74" s="1520" t="str">
        <f>IF(       0&lt;0.01,"***",IF(       0&lt;0.05,"**",IF(       0&lt;0.1,"*","NS")))</f>
        <v>***</v>
      </c>
      <c r="P74" s="296" t="s">
        <v>3574</v>
      </c>
      <c r="Q74" s="4">
        <v>66.875644484513671</v>
      </c>
      <c r="R74" s="4">
        <v>48.769527820457611</v>
      </c>
      <c r="S74" s="4">
        <v>-18.106116664055666</v>
      </c>
      <c r="T74" s="1521" t="str">
        <f>IF(       0&lt;0.01,"***",IF(       0&lt;0.05,"**",IF(       0&lt;0.1,"*","NS")))</f>
        <v>***</v>
      </c>
    </row>
    <row r="75" spans="1:20" x14ac:dyDescent="0.2">
      <c r="A75" s="296" t="s">
        <v>5835</v>
      </c>
      <c r="B75" s="4">
        <v>76.741767300539408</v>
      </c>
      <c r="C75" s="4">
        <v>66.981644093773355</v>
      </c>
      <c r="D75" s="4">
        <v>-9.7601232067662131</v>
      </c>
      <c r="E75" s="1522" t="str">
        <f>IF(       0&lt;0.01,"***",IF(       0&lt;0.05,"**",IF(       0&lt;0.1,"*","NS")))</f>
        <v>***</v>
      </c>
      <c r="G75" s="296" t="s">
        <v>5835</v>
      </c>
      <c r="H75" s="4">
        <v>76.741767300539408</v>
      </c>
      <c r="I75" s="4">
        <v>69.300985540688728</v>
      </c>
      <c r="J75" s="4">
        <v>-7.4407817598502692</v>
      </c>
      <c r="K75" s="1523" t="str">
        <f>IF(       0&lt;0.01,"***",IF(       0&lt;0.05,"**",IF(       0&lt;0.1,"*","NS")))</f>
        <v>***</v>
      </c>
      <c r="L75" s="4">
        <v>60.358907287542493</v>
      </c>
      <c r="M75" s="4">
        <v>-16.382860012998162</v>
      </c>
      <c r="N75" s="1524" t="str">
        <f>IF(       0&lt;0.01,"***",IF(       0&lt;0.05,"**",IF(       0&lt;0.1,"*","NS")))</f>
        <v>***</v>
      </c>
      <c r="P75" s="296" t="s">
        <v>5835</v>
      </c>
      <c r="Q75" s="4">
        <v>74.574052770803775</v>
      </c>
      <c r="R75" s="4">
        <v>60.358907287542493</v>
      </c>
      <c r="S75" s="4">
        <v>-14.215145483261367</v>
      </c>
      <c r="T75" s="1525" t="str">
        <f>IF(       0&lt;0.01,"***",IF(       0&lt;0.05,"**",IF(       0&lt;0.1,"*","NS")))</f>
        <v>***</v>
      </c>
    </row>
    <row r="77" spans="1:20" x14ac:dyDescent="0.2">
      <c r="A77" s="296" t="s">
        <v>3352</v>
      </c>
      <c r="G77" s="296" t="s">
        <v>3456</v>
      </c>
      <c r="P77" s="296" t="s">
        <v>3575</v>
      </c>
    </row>
    <row r="78" spans="1:20" s="3" customFormat="1" x14ac:dyDescent="0.2">
      <c r="A78" s="5442" t="s">
        <v>3353</v>
      </c>
      <c r="B78" s="5443" t="s">
        <v>3354</v>
      </c>
      <c r="C78" s="5444" t="s">
        <v>3355</v>
      </c>
      <c r="D78" s="5445" t="s">
        <v>3356</v>
      </c>
      <c r="E78" s="5446" t="s">
        <v>3357</v>
      </c>
      <c r="G78" s="5447" t="s">
        <v>3457</v>
      </c>
      <c r="H78" s="5448" t="s">
        <v>3458</v>
      </c>
      <c r="I78" s="5449" t="s">
        <v>3459</v>
      </c>
      <c r="J78" s="5450" t="s">
        <v>3460</v>
      </c>
      <c r="K78" s="5451" t="s">
        <v>3461</v>
      </c>
      <c r="L78" s="5452" t="s">
        <v>3489</v>
      </c>
      <c r="M78" s="5453" t="s">
        <v>3490</v>
      </c>
      <c r="N78" s="5454" t="s">
        <v>3491</v>
      </c>
      <c r="P78" s="5455" t="s">
        <v>3576</v>
      </c>
      <c r="Q78" s="5456" t="s">
        <v>3577</v>
      </c>
      <c r="R78" s="5457" t="s">
        <v>3578</v>
      </c>
      <c r="S78" s="5458" t="s">
        <v>3579</v>
      </c>
      <c r="T78" s="5459" t="s">
        <v>3580</v>
      </c>
    </row>
    <row r="79" spans="1:20" x14ac:dyDescent="0.2">
      <c r="A79" s="296" t="s">
        <v>3358</v>
      </c>
      <c r="B79" s="4" t="s">
        <v>6067</v>
      </c>
      <c r="C79" s="4" t="s">
        <v>6067</v>
      </c>
      <c r="D79" s="4" t="s">
        <v>6067</v>
      </c>
      <c r="E79" s="4" t="s">
        <v>6067</v>
      </c>
      <c r="G79" s="296" t="s">
        <v>3462</v>
      </c>
      <c r="H79" s="4" t="s">
        <v>6067</v>
      </c>
      <c r="I79" s="4" t="s">
        <v>6067</v>
      </c>
      <c r="J79" s="4" t="s">
        <v>6067</v>
      </c>
      <c r="K79" s="4" t="s">
        <v>6067</v>
      </c>
      <c r="L79" s="4" t="s">
        <v>6067</v>
      </c>
      <c r="M79" s="4" t="s">
        <v>6067</v>
      </c>
      <c r="N79" s="4" t="s">
        <v>6067</v>
      </c>
      <c r="P79" s="296" t="s">
        <v>3581</v>
      </c>
      <c r="Q79" s="4" t="s">
        <v>6067</v>
      </c>
      <c r="R79" s="4" t="s">
        <v>6067</v>
      </c>
      <c r="S79" s="4" t="s">
        <v>6067</v>
      </c>
      <c r="T79" s="4" t="s">
        <v>6067</v>
      </c>
    </row>
    <row r="80" spans="1:20" x14ac:dyDescent="0.2">
      <c r="A80" s="296" t="s">
        <v>3359</v>
      </c>
      <c r="B80" s="4">
        <v>93.436809409718364</v>
      </c>
      <c r="C80" s="4">
        <v>86.637232123529714</v>
      </c>
      <c r="D80" s="4">
        <v>-6.7995772861886792</v>
      </c>
      <c r="E80" s="1526" t="str">
        <f>IF(       0.002&lt;0.01,"***",IF(       0.002&lt;0.05,"**",IF(       0.002&lt;0.1,"*","NS")))</f>
        <v>***</v>
      </c>
      <c r="G80" s="296" t="s">
        <v>3463</v>
      </c>
      <c r="H80" s="4">
        <v>93.436809409718364</v>
      </c>
      <c r="I80" s="4">
        <v>88.95214914523909</v>
      </c>
      <c r="J80" s="4">
        <v>-4.4846602644792455</v>
      </c>
      <c r="K80" s="1527" t="str">
        <f>IF(       0.096&lt;0.01,"***",IF(       0.096&lt;0.05,"**",IF(       0.096&lt;0.1,"*","NS")))</f>
        <v>*</v>
      </c>
      <c r="L80" s="4">
        <v>80.417554239126417</v>
      </c>
      <c r="M80" s="4">
        <v>-13.01925517059197</v>
      </c>
      <c r="N80" s="1528" t="str">
        <f>IF(       0.001&lt;0.01,"***",IF(       0.001&lt;0.05,"**",IF(       0.001&lt;0.1,"*","NS")))</f>
        <v>***</v>
      </c>
      <c r="P80" s="296" t="s">
        <v>3582</v>
      </c>
      <c r="Q80" s="4">
        <v>92.38729438771206</v>
      </c>
      <c r="R80" s="4">
        <v>80.417554239126417</v>
      </c>
      <c r="S80" s="4">
        <v>-11.969740148585583</v>
      </c>
      <c r="T80" s="1529" t="str">
        <f>IF(       0.002&lt;0.01,"***",IF(       0.002&lt;0.05,"**",IF(       0.002&lt;0.1,"*","NS")))</f>
        <v>***</v>
      </c>
    </row>
    <row r="81" spans="1:20" x14ac:dyDescent="0.2">
      <c r="A81" s="296" t="s">
        <v>3360</v>
      </c>
      <c r="B81" s="4" t="s">
        <v>6067</v>
      </c>
      <c r="C81" s="4" t="s">
        <v>6067</v>
      </c>
      <c r="D81" s="4" t="s">
        <v>6067</v>
      </c>
      <c r="E81" s="4" t="s">
        <v>6067</v>
      </c>
      <c r="G81" s="296" t="s">
        <v>3464</v>
      </c>
      <c r="H81" s="4" t="s">
        <v>6067</v>
      </c>
      <c r="I81" s="4" t="s">
        <v>6067</v>
      </c>
      <c r="J81" s="4" t="s">
        <v>6067</v>
      </c>
      <c r="K81" s="4" t="s">
        <v>6067</v>
      </c>
      <c r="L81" s="4" t="s">
        <v>6067</v>
      </c>
      <c r="M81" s="4" t="s">
        <v>6067</v>
      </c>
      <c r="N81" s="4" t="s">
        <v>6067</v>
      </c>
      <c r="P81" s="296" t="s">
        <v>3583</v>
      </c>
      <c r="Q81" s="4" t="s">
        <v>6067</v>
      </c>
      <c r="R81" s="4" t="s">
        <v>6067</v>
      </c>
      <c r="S81" s="4" t="s">
        <v>6067</v>
      </c>
      <c r="T81" s="4" t="s">
        <v>6067</v>
      </c>
    </row>
    <row r="82" spans="1:20" x14ac:dyDescent="0.2">
      <c r="A82" s="296" t="s">
        <v>3361</v>
      </c>
      <c r="B82" s="4" t="s">
        <v>6067</v>
      </c>
      <c r="C82" s="4" t="s">
        <v>6067</v>
      </c>
      <c r="D82" s="4" t="s">
        <v>6067</v>
      </c>
      <c r="E82" s="4" t="s">
        <v>6067</v>
      </c>
      <c r="G82" s="296" t="s">
        <v>3465</v>
      </c>
      <c r="H82" s="4" t="s">
        <v>6067</v>
      </c>
      <c r="I82" s="4" t="s">
        <v>6067</v>
      </c>
      <c r="J82" s="4" t="s">
        <v>6067</v>
      </c>
      <c r="K82" s="4" t="s">
        <v>6067</v>
      </c>
      <c r="L82" s="4" t="s">
        <v>6067</v>
      </c>
      <c r="M82" s="4" t="s">
        <v>6067</v>
      </c>
      <c r="N82" s="4" t="s">
        <v>6067</v>
      </c>
      <c r="P82" s="296" t="s">
        <v>3584</v>
      </c>
      <c r="Q82" s="4" t="s">
        <v>6067</v>
      </c>
      <c r="R82" s="4" t="s">
        <v>6067</v>
      </c>
      <c r="S82" s="4" t="s">
        <v>6067</v>
      </c>
      <c r="T82" s="4" t="s">
        <v>6067</v>
      </c>
    </row>
    <row r="83" spans="1:20" x14ac:dyDescent="0.2">
      <c r="A83" s="296" t="s">
        <v>3362</v>
      </c>
      <c r="B83" s="4" t="s">
        <v>6067</v>
      </c>
      <c r="C83" s="4" t="s">
        <v>6067</v>
      </c>
      <c r="D83" s="4" t="s">
        <v>6067</v>
      </c>
      <c r="E83" s="4" t="s">
        <v>6067</v>
      </c>
      <c r="G83" s="296" t="s">
        <v>3466</v>
      </c>
      <c r="H83" s="4" t="s">
        <v>6067</v>
      </c>
      <c r="I83" s="4" t="s">
        <v>6067</v>
      </c>
      <c r="J83" s="4" t="s">
        <v>6067</v>
      </c>
      <c r="K83" s="4" t="s">
        <v>6067</v>
      </c>
      <c r="L83" s="4" t="s">
        <v>6067</v>
      </c>
      <c r="M83" s="4" t="s">
        <v>6067</v>
      </c>
      <c r="N83" s="4" t="s">
        <v>6067</v>
      </c>
      <c r="P83" s="296" t="s">
        <v>3585</v>
      </c>
      <c r="Q83" s="4" t="s">
        <v>6067</v>
      </c>
      <c r="R83" s="4" t="s">
        <v>6067</v>
      </c>
      <c r="S83" s="4" t="s">
        <v>6067</v>
      </c>
      <c r="T83" s="4" t="s">
        <v>6067</v>
      </c>
    </row>
    <row r="84" spans="1:20" x14ac:dyDescent="0.2">
      <c r="A84" s="296" t="s">
        <v>3363</v>
      </c>
      <c r="B84" s="4" t="s">
        <v>6067</v>
      </c>
      <c r="C84" s="4" t="s">
        <v>6067</v>
      </c>
      <c r="D84" s="4" t="s">
        <v>6067</v>
      </c>
      <c r="E84" s="4" t="s">
        <v>6067</v>
      </c>
      <c r="G84" s="296" t="s">
        <v>3467</v>
      </c>
      <c r="H84" s="4" t="s">
        <v>6067</v>
      </c>
      <c r="I84" s="4" t="s">
        <v>6067</v>
      </c>
      <c r="J84" s="4" t="s">
        <v>6067</v>
      </c>
      <c r="K84" s="4" t="s">
        <v>6067</v>
      </c>
      <c r="L84" s="4" t="s">
        <v>6067</v>
      </c>
      <c r="M84" s="4" t="s">
        <v>6067</v>
      </c>
      <c r="N84" s="4" t="s">
        <v>6067</v>
      </c>
      <c r="P84" s="296" t="s">
        <v>3586</v>
      </c>
      <c r="Q84" s="4" t="s">
        <v>6067</v>
      </c>
      <c r="R84" s="4" t="s">
        <v>6067</v>
      </c>
      <c r="S84" s="4" t="s">
        <v>6067</v>
      </c>
      <c r="T84" s="4" t="s">
        <v>6067</v>
      </c>
    </row>
    <row r="85" spans="1:20" x14ac:dyDescent="0.2">
      <c r="A85" s="296" t="s">
        <v>3364</v>
      </c>
      <c r="B85" s="4">
        <v>97.851773611765054</v>
      </c>
      <c r="C85" s="4">
        <v>97.916288345915774</v>
      </c>
      <c r="D85" s="4">
        <v>6.4514734150719275E-2</v>
      </c>
      <c r="E85" s="1530" t="str">
        <f>IF(       0.92&lt;0.01,"***",IF(       0.92&lt;0.05,"**",IF(       0.92&lt;0.1,"*","NS")))</f>
        <v>NS</v>
      </c>
      <c r="G85" s="296" t="s">
        <v>3468</v>
      </c>
      <c r="H85" s="4">
        <v>97.851773611765054</v>
      </c>
      <c r="I85" s="4">
        <v>97.46645968268551</v>
      </c>
      <c r="J85" s="4">
        <v>-0.38531392907952633</v>
      </c>
      <c r="K85" s="1531" t="str">
        <f>IF(       0.627&lt;0.01,"***",IF(       0.627&lt;0.05,"**",IF(       0.627&lt;0.1,"*","NS")))</f>
        <v>NS</v>
      </c>
      <c r="L85" s="4">
        <v>100</v>
      </c>
      <c r="M85" s="4">
        <v>2.1482263882350092</v>
      </c>
      <c r="N85" s="1532" t="str">
        <f>IF(       0&lt;0.01,"***",IF(       0&lt;0.05,"**",IF(       0&lt;0.1,"*","NS")))</f>
        <v>***</v>
      </c>
      <c r="P85" s="296" t="s">
        <v>3587</v>
      </c>
      <c r="Q85" s="4">
        <v>97.794641854249534</v>
      </c>
      <c r="R85" s="4">
        <v>100</v>
      </c>
      <c r="S85" s="4">
        <v>2.2053581457505107</v>
      </c>
      <c r="T85" s="1533" t="str">
        <f>IF(       0&lt;0.01,"***",IF(       0&lt;0.05,"**",IF(       0&lt;0.1,"*","NS")))</f>
        <v>***</v>
      </c>
    </row>
    <row r="86" spans="1:20" x14ac:dyDescent="0.2">
      <c r="A86" s="296" t="s">
        <v>3365</v>
      </c>
      <c r="B86" s="4" t="s">
        <v>6067</v>
      </c>
      <c r="C86" s="4" t="s">
        <v>6067</v>
      </c>
      <c r="D86" s="4" t="s">
        <v>6067</v>
      </c>
      <c r="E86" s="4" t="s">
        <v>6067</v>
      </c>
      <c r="G86" s="296" t="s">
        <v>3469</v>
      </c>
      <c r="H86" s="4" t="s">
        <v>6067</v>
      </c>
      <c r="I86" s="4" t="s">
        <v>6067</v>
      </c>
      <c r="J86" s="4" t="s">
        <v>6067</v>
      </c>
      <c r="K86" s="4" t="s">
        <v>6067</v>
      </c>
      <c r="L86" s="4" t="s">
        <v>6067</v>
      </c>
      <c r="M86" s="4" t="s">
        <v>6067</v>
      </c>
      <c r="N86" s="4" t="s">
        <v>6067</v>
      </c>
      <c r="P86" s="296" t="s">
        <v>3588</v>
      </c>
      <c r="Q86" s="4" t="s">
        <v>6067</v>
      </c>
      <c r="R86" s="4" t="s">
        <v>6067</v>
      </c>
      <c r="S86" s="4" t="s">
        <v>6067</v>
      </c>
      <c r="T86" s="4" t="s">
        <v>6067</v>
      </c>
    </row>
    <row r="87" spans="1:20" x14ac:dyDescent="0.2">
      <c r="A87" s="296" t="s">
        <v>3366</v>
      </c>
      <c r="B87" s="4" t="s">
        <v>6067</v>
      </c>
      <c r="C87" s="4" t="s">
        <v>6067</v>
      </c>
      <c r="D87" s="4" t="s">
        <v>6067</v>
      </c>
      <c r="E87" s="4" t="s">
        <v>6067</v>
      </c>
      <c r="G87" s="296" t="s">
        <v>3470</v>
      </c>
      <c r="H87" s="4" t="s">
        <v>6067</v>
      </c>
      <c r="I87" s="4" t="s">
        <v>6067</v>
      </c>
      <c r="J87" s="4" t="s">
        <v>6067</v>
      </c>
      <c r="K87" s="4" t="s">
        <v>6067</v>
      </c>
      <c r="L87" s="4" t="s">
        <v>6067</v>
      </c>
      <c r="M87" s="4" t="s">
        <v>6067</v>
      </c>
      <c r="N87" s="4" t="s">
        <v>6067</v>
      </c>
      <c r="P87" s="296" t="s">
        <v>3589</v>
      </c>
      <c r="Q87" s="4" t="s">
        <v>6067</v>
      </c>
      <c r="R87" s="4" t="s">
        <v>6067</v>
      </c>
      <c r="S87" s="4" t="s">
        <v>6067</v>
      </c>
      <c r="T87" s="4" t="s">
        <v>6067</v>
      </c>
    </row>
    <row r="88" spans="1:20" x14ac:dyDescent="0.2">
      <c r="A88" s="296" t="s">
        <v>3367</v>
      </c>
      <c r="B88" s="4" t="s">
        <v>6067</v>
      </c>
      <c r="C88" s="4" t="s">
        <v>6067</v>
      </c>
      <c r="D88" s="4" t="s">
        <v>6067</v>
      </c>
      <c r="E88" s="4" t="s">
        <v>6067</v>
      </c>
      <c r="G88" s="296" t="s">
        <v>3471</v>
      </c>
      <c r="H88" s="4" t="s">
        <v>6067</v>
      </c>
      <c r="I88" s="4" t="s">
        <v>6067</v>
      </c>
      <c r="J88" s="4" t="s">
        <v>6067</v>
      </c>
      <c r="K88" s="4" t="s">
        <v>6067</v>
      </c>
      <c r="L88" s="4" t="s">
        <v>6067</v>
      </c>
      <c r="M88" s="4" t="s">
        <v>6067</v>
      </c>
      <c r="N88" s="4" t="s">
        <v>6067</v>
      </c>
      <c r="P88" s="296" t="s">
        <v>3590</v>
      </c>
      <c r="Q88" s="4" t="s">
        <v>6067</v>
      </c>
      <c r="R88" s="4" t="s">
        <v>6067</v>
      </c>
      <c r="S88" s="4" t="s">
        <v>6067</v>
      </c>
      <c r="T88" s="4" t="s">
        <v>6067</v>
      </c>
    </row>
    <row r="89" spans="1:20" x14ac:dyDescent="0.2">
      <c r="A89" s="296" t="s">
        <v>3368</v>
      </c>
      <c r="B89" s="4">
        <v>96.028451695316178</v>
      </c>
      <c r="C89" s="4">
        <v>91.151720694931043</v>
      </c>
      <c r="D89" s="4">
        <v>-4.8767310003851607</v>
      </c>
      <c r="E89" s="1534" t="str">
        <f>IF(       0.112&lt;0.01,"***",IF(       0.112&lt;0.05,"**",IF(       0.112&lt;0.1,"*","NS")))</f>
        <v>NS</v>
      </c>
      <c r="G89" s="296" t="s">
        <v>3472</v>
      </c>
      <c r="H89" s="4">
        <v>96.028451695316178</v>
      </c>
      <c r="I89" s="4">
        <v>93.381614749866301</v>
      </c>
      <c r="J89" s="4">
        <v>-2.6468369454499165</v>
      </c>
      <c r="K89" s="1535" t="str">
        <f>IF(       0.11&lt;0.01,"***",IF(       0.11&lt;0.05,"**",IF(       0.11&lt;0.1,"*","NS")))</f>
        <v>NS</v>
      </c>
      <c r="L89" s="4">
        <v>85.21783398270064</v>
      </c>
      <c r="M89" s="4">
        <v>-10.810617712615567</v>
      </c>
      <c r="N89" s="1536" t="str">
        <f>IF(       0.112&lt;0.01,"***",IF(       0.112&lt;0.05,"**",IF(       0.112&lt;0.1,"*","NS")))</f>
        <v>NS</v>
      </c>
      <c r="P89" s="296" t="s">
        <v>3591</v>
      </c>
      <c r="Q89" s="4">
        <v>95.553895541807833</v>
      </c>
      <c r="R89" s="4">
        <v>85.21783398270064</v>
      </c>
      <c r="S89" s="4">
        <v>-10.336061559107195</v>
      </c>
      <c r="T89" s="1537" t="str">
        <f>IF(       0.113&lt;0.01,"***",IF(       0.113&lt;0.05,"**",IF(       0.113&lt;0.1,"*","NS")))</f>
        <v>NS</v>
      </c>
    </row>
    <row r="90" spans="1:20" x14ac:dyDescent="0.2">
      <c r="A90" s="296" t="s">
        <v>3369</v>
      </c>
      <c r="B90" s="4" t="s">
        <v>6067</v>
      </c>
      <c r="C90" s="4" t="s">
        <v>6067</v>
      </c>
      <c r="D90" s="4" t="s">
        <v>6067</v>
      </c>
      <c r="E90" s="4" t="s">
        <v>6067</v>
      </c>
      <c r="G90" s="296" t="s">
        <v>3473</v>
      </c>
      <c r="H90" s="4" t="s">
        <v>6067</v>
      </c>
      <c r="I90" s="4" t="s">
        <v>6067</v>
      </c>
      <c r="J90" s="4" t="s">
        <v>6067</v>
      </c>
      <c r="K90" s="4" t="s">
        <v>6067</v>
      </c>
      <c r="L90" s="4" t="s">
        <v>6067</v>
      </c>
      <c r="M90" s="4" t="s">
        <v>6067</v>
      </c>
      <c r="N90" s="4" t="s">
        <v>6067</v>
      </c>
      <c r="P90" s="296" t="s">
        <v>3592</v>
      </c>
      <c r="Q90" s="4" t="s">
        <v>6067</v>
      </c>
      <c r="R90" s="4" t="s">
        <v>6067</v>
      </c>
      <c r="S90" s="4" t="s">
        <v>6067</v>
      </c>
      <c r="T90" s="4" t="s">
        <v>6067</v>
      </c>
    </row>
    <row r="91" spans="1:20" x14ac:dyDescent="0.2">
      <c r="A91" s="296" t="s">
        <v>3370</v>
      </c>
      <c r="B91" s="4" t="s">
        <v>6067</v>
      </c>
      <c r="C91" s="4" t="s">
        <v>6067</v>
      </c>
      <c r="D91" s="4" t="s">
        <v>6067</v>
      </c>
      <c r="E91" s="4" t="s">
        <v>6067</v>
      </c>
      <c r="G91" s="296" t="s">
        <v>3474</v>
      </c>
      <c r="H91" s="4" t="s">
        <v>6067</v>
      </c>
      <c r="I91" s="4" t="s">
        <v>6067</v>
      </c>
      <c r="J91" s="4" t="s">
        <v>6067</v>
      </c>
      <c r="K91" s="4" t="s">
        <v>6067</v>
      </c>
      <c r="L91" s="4" t="s">
        <v>6067</v>
      </c>
      <c r="M91" s="4" t="s">
        <v>6067</v>
      </c>
      <c r="N91" s="4" t="s">
        <v>6067</v>
      </c>
      <c r="P91" s="296" t="s">
        <v>3593</v>
      </c>
      <c r="Q91" s="4" t="s">
        <v>6067</v>
      </c>
      <c r="R91" s="4" t="s">
        <v>6067</v>
      </c>
      <c r="S91" s="4" t="s">
        <v>6067</v>
      </c>
      <c r="T91" s="4" t="s">
        <v>6067</v>
      </c>
    </row>
    <row r="92" spans="1:20" x14ac:dyDescent="0.2">
      <c r="A92" s="296" t="s">
        <v>3371</v>
      </c>
      <c r="B92" s="4">
        <v>91.668472181445367</v>
      </c>
      <c r="C92" s="4">
        <v>88.517468707454071</v>
      </c>
      <c r="D92" s="4">
        <v>-3.1510034739913104</v>
      </c>
      <c r="E92" s="1538" t="str">
        <f>IF(       0.219&lt;0.01,"***",IF(       0.219&lt;0.05,"**",IF(       0.219&lt;0.1,"*","NS")))</f>
        <v>NS</v>
      </c>
      <c r="G92" s="296" t="s">
        <v>3475</v>
      </c>
      <c r="H92" s="4">
        <v>91.668472181445367</v>
      </c>
      <c r="I92" s="4">
        <v>91.58931383854474</v>
      </c>
      <c r="J92" s="4">
        <v>-7.9158342900616158E-2</v>
      </c>
      <c r="K92" s="1539" t="str">
        <f>IF(       0.973&lt;0.01,"***",IF(       0.973&lt;0.05,"**",IF(       0.973&lt;0.1,"*","NS")))</f>
        <v>NS</v>
      </c>
      <c r="L92" s="4">
        <v>82.190037693582752</v>
      </c>
      <c r="M92" s="4">
        <v>-9.4784344878626214</v>
      </c>
      <c r="N92" s="1540" t="str">
        <f>IF(       0.049&lt;0.01,"***",IF(       0.049&lt;0.05,"**",IF(       0.049&lt;0.1,"*","NS")))</f>
        <v>**</v>
      </c>
      <c r="P92" s="296" t="s">
        <v>3594</v>
      </c>
      <c r="Q92" s="4">
        <v>91.645590647905436</v>
      </c>
      <c r="R92" s="4">
        <v>82.190037693582752</v>
      </c>
      <c r="S92" s="4">
        <v>-9.4555529543227017</v>
      </c>
      <c r="T92" s="1541" t="str">
        <f>IF(       0.045&lt;0.01,"***",IF(       0.045&lt;0.05,"**",IF(       0.045&lt;0.1,"*","NS")))</f>
        <v>**</v>
      </c>
    </row>
    <row r="93" spans="1:20" x14ac:dyDescent="0.2">
      <c r="A93" s="296" t="s">
        <v>3372</v>
      </c>
      <c r="B93" s="4" t="s">
        <v>6067</v>
      </c>
      <c r="C93" s="4" t="s">
        <v>6067</v>
      </c>
      <c r="D93" s="4" t="s">
        <v>6067</v>
      </c>
      <c r="E93" s="4" t="s">
        <v>6067</v>
      </c>
      <c r="G93" s="296" t="s">
        <v>3476</v>
      </c>
      <c r="H93" s="4" t="s">
        <v>6067</v>
      </c>
      <c r="I93" s="4" t="s">
        <v>6067</v>
      </c>
      <c r="J93" s="4" t="s">
        <v>6067</v>
      </c>
      <c r="K93" s="4" t="s">
        <v>6067</v>
      </c>
      <c r="L93" s="4" t="s">
        <v>6067</v>
      </c>
      <c r="M93" s="4" t="s">
        <v>6067</v>
      </c>
      <c r="N93" s="4" t="s">
        <v>6067</v>
      </c>
      <c r="P93" s="296" t="s">
        <v>3595</v>
      </c>
      <c r="Q93" s="4" t="s">
        <v>6067</v>
      </c>
      <c r="R93" s="4" t="s">
        <v>6067</v>
      </c>
      <c r="S93" s="4" t="s">
        <v>6067</v>
      </c>
      <c r="T93" s="4" t="s">
        <v>6067</v>
      </c>
    </row>
    <row r="94" spans="1:20" x14ac:dyDescent="0.2">
      <c r="A94" s="296" t="s">
        <v>5835</v>
      </c>
      <c r="B94" s="4">
        <v>93.017239036362653</v>
      </c>
      <c r="C94" s="4">
        <v>87.050117384043205</v>
      </c>
      <c r="D94" s="4">
        <v>-5.9671216523191593</v>
      </c>
      <c r="E94" s="1542" t="str">
        <f>IF(       0&lt;0.01,"***",IF(       0&lt;0.05,"**",IF(       0&lt;0.1,"*","NS")))</f>
        <v>***</v>
      </c>
      <c r="G94" s="296" t="s">
        <v>5835</v>
      </c>
      <c r="H94" s="4">
        <v>93.017239036362653</v>
      </c>
      <c r="I94" s="4">
        <v>88.740046769018221</v>
      </c>
      <c r="J94" s="4">
        <v>-4.2771922673444625</v>
      </c>
      <c r="K94" s="1543" t="str">
        <f>IF(       0&lt;0.01,"***",IF(       0&lt;0.05,"**",IF(       0&lt;0.1,"*","NS")))</f>
        <v>***</v>
      </c>
      <c r="L94" s="4">
        <v>81.365848693924065</v>
      </c>
      <c r="M94" s="4">
        <v>-11.651390342438711</v>
      </c>
      <c r="N94" s="1544" t="str">
        <f>IF(       0&lt;0.01,"***",IF(       0&lt;0.05,"**",IF(       0&lt;0.1,"*","NS")))</f>
        <v>***</v>
      </c>
      <c r="P94" s="296" t="s">
        <v>5835</v>
      </c>
      <c r="Q94" s="4">
        <v>92.177033524983926</v>
      </c>
      <c r="R94" s="4">
        <v>81.365848693924065</v>
      </c>
      <c r="S94" s="4">
        <v>-10.811184831059638</v>
      </c>
      <c r="T94" s="1545" t="str">
        <f>IF(       0&lt;0.01,"***",IF(       0&lt;0.05,"**",IF(       0&lt;0.1,"*","NS")))</f>
        <v>***</v>
      </c>
    </row>
    <row r="96" spans="1:20" x14ac:dyDescent="0.2">
      <c r="A96" s="296" t="s">
        <v>5729</v>
      </c>
      <c r="G96" s="296" t="s">
        <v>5730</v>
      </c>
      <c r="P96" s="296" t="s">
        <v>5731</v>
      </c>
    </row>
    <row r="97" spans="1:20" s="3" customFormat="1" x14ac:dyDescent="0.2">
      <c r="A97" s="5460" t="s">
        <v>5183</v>
      </c>
      <c r="B97" s="5461" t="s">
        <v>5184</v>
      </c>
      <c r="C97" s="5462" t="s">
        <v>5185</v>
      </c>
      <c r="D97" s="5463" t="s">
        <v>5186</v>
      </c>
      <c r="E97" s="5464" t="s">
        <v>5187</v>
      </c>
      <c r="G97" s="5465" t="s">
        <v>5223</v>
      </c>
      <c r="H97" s="5466" t="s">
        <v>5224</v>
      </c>
      <c r="I97" s="5467" t="s">
        <v>5225</v>
      </c>
      <c r="J97" s="5468" t="s">
        <v>5226</v>
      </c>
      <c r="K97" s="5469" t="s">
        <v>5227</v>
      </c>
      <c r="L97" s="5470" t="s">
        <v>5263</v>
      </c>
      <c r="M97" s="5471" t="s">
        <v>5264</v>
      </c>
      <c r="N97" s="5472" t="s">
        <v>5265</v>
      </c>
      <c r="P97" s="5473" t="s">
        <v>5269</v>
      </c>
      <c r="Q97" s="5474" t="s">
        <v>5270</v>
      </c>
      <c r="R97" s="5475" t="s">
        <v>5271</v>
      </c>
      <c r="S97" s="5476" t="s">
        <v>5272</v>
      </c>
      <c r="T97" s="5477" t="s">
        <v>5273</v>
      </c>
    </row>
    <row r="98" spans="1:20" x14ac:dyDescent="0.2">
      <c r="A98" s="296" t="s">
        <v>5188</v>
      </c>
      <c r="B98" s="4">
        <v>66.50211864203149</v>
      </c>
      <c r="C98" s="4">
        <v>61.3990855378688</v>
      </c>
      <c r="D98" s="4">
        <v>-5.1030331041627184</v>
      </c>
      <c r="E98" s="1546" t="str">
        <f>IF(       0.051&lt;0.01,"***",IF(       0.051&lt;0.05,"**",IF(       0.051&lt;0.1,"*","NS")))</f>
        <v>*</v>
      </c>
      <c r="G98" s="296" t="s">
        <v>5228</v>
      </c>
      <c r="H98" s="4">
        <v>66.50211864203149</v>
      </c>
      <c r="I98" s="4">
        <v>60.955450572643358</v>
      </c>
      <c r="J98" s="4">
        <v>-5.5466680693881738</v>
      </c>
      <c r="K98" s="1547" t="str">
        <f>IF(       0.034&lt;0.01,"***",IF(       0.034&lt;0.05,"**",IF(       0.034&lt;0.1,"*","NS")))</f>
        <v>**</v>
      </c>
      <c r="L98" s="4">
        <v>64.705486799367947</v>
      </c>
      <c r="M98" s="4">
        <v>-1.7966318426635455</v>
      </c>
      <c r="N98" s="1548" t="str">
        <f>IF(       0&lt;0.01,"***",IF(       0&lt;0.05,"**",IF(       0&lt;0.1,"*","NS")))</f>
        <v>***</v>
      </c>
      <c r="P98" s="296" t="s">
        <v>5274</v>
      </c>
      <c r="Q98" s="4">
        <v>64.896914846170702</v>
      </c>
      <c r="R98" s="4">
        <v>64.705486799367947</v>
      </c>
      <c r="S98" s="4">
        <v>-0.19142804680271702</v>
      </c>
      <c r="T98" s="1549" t="str">
        <f>IF(       0.982&lt;0.01,"***",IF(       0.982&lt;0.05,"**",IF(       0.982&lt;0.1,"*","NS")))</f>
        <v>NS</v>
      </c>
    </row>
    <row r="99" spans="1:20" x14ac:dyDescent="0.2">
      <c r="A99" s="296" t="s">
        <v>5189</v>
      </c>
      <c r="B99" s="4">
        <v>86.634999605167422</v>
      </c>
      <c r="C99" s="4">
        <v>80.722359132822405</v>
      </c>
      <c r="D99" s="4">
        <v>-5.9126404723449992</v>
      </c>
      <c r="E99" s="1550" t="str">
        <f>IF(       0.011&lt;0.01,"***",IF(       0.011&lt;0.05,"**",IF(       0.011&lt;0.1,"*","NS")))</f>
        <v>**</v>
      </c>
      <c r="G99" s="296" t="s">
        <v>5229</v>
      </c>
      <c r="H99" s="4">
        <v>86.634999605167422</v>
      </c>
      <c r="I99" s="4">
        <v>81.285379092662552</v>
      </c>
      <c r="J99" s="4">
        <v>-5.3496205125048677</v>
      </c>
      <c r="K99" s="1551" t="str">
        <f>IF(       0.022&lt;0.01,"***",IF(       0.022&lt;0.05,"**",IF(       0.022&lt;0.1,"*","NS")))</f>
        <v>**</v>
      </c>
      <c r="L99" s="4">
        <v>78.03561169709252</v>
      </c>
      <c r="M99" s="4">
        <v>-8.5993879080748687</v>
      </c>
      <c r="N99" s="1552" t="str">
        <f>IF(       0.831&lt;0.01,"***",IF(       0.831&lt;0.05,"**",IF(       0.831&lt;0.1,"*","NS")))</f>
        <v>NS</v>
      </c>
      <c r="P99" s="296" t="s">
        <v>5275</v>
      </c>
      <c r="Q99" s="4">
        <v>85.557677180067699</v>
      </c>
      <c r="R99" s="4">
        <v>78.03561169709252</v>
      </c>
      <c r="S99" s="4">
        <v>-7.5220654829751759</v>
      </c>
      <c r="T99" s="1553" t="str">
        <f>IF(       0.076&lt;0.01,"***",IF(       0.076&lt;0.05,"**",IF(       0.076&lt;0.1,"*","NS")))</f>
        <v>*</v>
      </c>
    </row>
    <row r="100" spans="1:20" x14ac:dyDescent="0.2">
      <c r="A100" s="296" t="s">
        <v>5190</v>
      </c>
      <c r="B100" s="4">
        <v>76.789556853727788</v>
      </c>
      <c r="C100" s="4">
        <v>65.080253135306904</v>
      </c>
      <c r="D100" s="4">
        <v>-11.709303718420768</v>
      </c>
      <c r="E100" s="1554" t="str">
        <f>IF(       0.016&lt;0.01,"***",IF(       0.016&lt;0.05,"**",IF(       0.016&lt;0.1,"*","NS")))</f>
        <v>**</v>
      </c>
      <c r="G100" s="296" t="s">
        <v>5230</v>
      </c>
      <c r="H100" s="4">
        <v>76.789556853727788</v>
      </c>
      <c r="I100" s="4">
        <v>66.804138936687124</v>
      </c>
      <c r="J100" s="4">
        <v>-9.9854179170406638</v>
      </c>
      <c r="K100" s="1555" t="str">
        <f>IF(       0.02&lt;0.01,"***",IF(       0.02&lt;0.05,"**",IF(       0.02&lt;0.1,"*","NS")))</f>
        <v>**</v>
      </c>
      <c r="L100" s="4">
        <v>56.831292708004057</v>
      </c>
      <c r="M100" s="4">
        <v>-19.958264145723746</v>
      </c>
      <c r="N100" s="1556" t="str">
        <f>IF(       0.05&lt;0.01,"***",IF(       0.05&lt;0.05,"**",IF(       0.05&lt;0.1,"*","NS")))</f>
        <v>*</v>
      </c>
      <c r="P100" s="296" t="s">
        <v>5276</v>
      </c>
      <c r="Q100" s="4">
        <v>75.269354723787757</v>
      </c>
      <c r="R100" s="4">
        <v>56.831292708004057</v>
      </c>
      <c r="S100" s="4">
        <v>-18.438062015783601</v>
      </c>
      <c r="T100" s="1557" t="str">
        <f>IF(       0.051&lt;0.01,"***",IF(       0.051&lt;0.05,"**",IF(       0.051&lt;0.1,"*","NS")))</f>
        <v>*</v>
      </c>
    </row>
    <row r="101" spans="1:20" x14ac:dyDescent="0.2">
      <c r="A101" s="296" t="s">
        <v>5191</v>
      </c>
      <c r="B101" s="4">
        <v>77.138715476958609</v>
      </c>
      <c r="C101" s="4">
        <v>76.02008483335274</v>
      </c>
      <c r="D101" s="4">
        <v>-1.1186306436058699</v>
      </c>
      <c r="E101" s="1558" t="str">
        <f>IF(       0.683&lt;0.01,"***",IF(       0.683&lt;0.05,"**",IF(       0.683&lt;0.1,"*","NS")))</f>
        <v>NS</v>
      </c>
      <c r="G101" s="296" t="s">
        <v>5231</v>
      </c>
      <c r="H101" s="4">
        <v>77.138715476958609</v>
      </c>
      <c r="I101" s="4">
        <v>77.692478016573816</v>
      </c>
      <c r="J101" s="4">
        <v>0.55376253961520761</v>
      </c>
      <c r="K101" s="1559" t="str">
        <f>IF(       0.84&lt;0.01,"***",IF(       0.84&lt;0.05,"**",IF(       0.84&lt;0.1,"*","NS")))</f>
        <v>NS</v>
      </c>
      <c r="L101" s="4">
        <v>64.713955740756901</v>
      </c>
      <c r="M101" s="4">
        <v>-12.424759736201731</v>
      </c>
      <c r="N101" s="1560" t="str">
        <f>IF(       0.042&lt;0.01,"***",IF(       0.042&lt;0.05,"**",IF(       0.042&lt;0.1,"*","NS")))</f>
        <v>**</v>
      </c>
      <c r="P101" s="296" t="s">
        <v>5277</v>
      </c>
      <c r="Q101" s="4">
        <v>77.260702785980769</v>
      </c>
      <c r="R101" s="4">
        <v>64.713955740756901</v>
      </c>
      <c r="S101" s="4">
        <v>-12.546747045224039</v>
      </c>
      <c r="T101" s="1561" t="str">
        <f>IF(       0.085&lt;0.01,"***",IF(       0.085&lt;0.05,"**",IF(       0.085&lt;0.1,"*","NS")))</f>
        <v>*</v>
      </c>
    </row>
    <row r="102" spans="1:20" x14ac:dyDescent="0.2">
      <c r="A102" s="296" t="s">
        <v>5192</v>
      </c>
      <c r="B102" s="4" t="s">
        <v>6067</v>
      </c>
      <c r="C102" s="4" t="s">
        <v>6067</v>
      </c>
      <c r="D102" s="4" t="s">
        <v>6067</v>
      </c>
      <c r="E102" s="4" t="s">
        <v>6067</v>
      </c>
      <c r="G102" s="296" t="s">
        <v>5232</v>
      </c>
      <c r="H102" s="4" t="s">
        <v>6067</v>
      </c>
      <c r="I102" s="4" t="s">
        <v>6067</v>
      </c>
      <c r="J102" s="4" t="s">
        <v>6067</v>
      </c>
      <c r="K102" s="4" t="s">
        <v>6067</v>
      </c>
      <c r="L102" s="4" t="s">
        <v>6067</v>
      </c>
      <c r="M102" s="4" t="s">
        <v>6067</v>
      </c>
      <c r="N102" s="4" t="s">
        <v>6067</v>
      </c>
      <c r="P102" s="296" t="s">
        <v>5278</v>
      </c>
      <c r="Q102" s="4" t="s">
        <v>6067</v>
      </c>
      <c r="R102" s="4" t="s">
        <v>6067</v>
      </c>
      <c r="S102" s="4" t="s">
        <v>6067</v>
      </c>
      <c r="T102" s="4" t="s">
        <v>6067</v>
      </c>
    </row>
    <row r="103" spans="1:20" x14ac:dyDescent="0.2">
      <c r="A103" s="296" t="s">
        <v>5193</v>
      </c>
      <c r="B103" s="4">
        <v>82.264420484336355</v>
      </c>
      <c r="C103" s="4">
        <v>72.955332361420488</v>
      </c>
      <c r="D103" s="4">
        <v>-9.3090881229156075</v>
      </c>
      <c r="E103" s="1562" t="str">
        <f>IF(       0.006&lt;0.01,"***",IF(       0.006&lt;0.05,"**",IF(       0.006&lt;0.1,"*","NS")))</f>
        <v>***</v>
      </c>
      <c r="G103" s="296" t="s">
        <v>5233</v>
      </c>
      <c r="H103" s="4">
        <v>82.264420484336355</v>
      </c>
      <c r="I103" s="4">
        <v>73.234969644150212</v>
      </c>
      <c r="J103" s="4">
        <v>-9.029450840185909</v>
      </c>
      <c r="K103" s="1563" t="str">
        <f>IF(       0.012&lt;0.01,"***",IF(       0.012&lt;0.05,"**",IF(       0.012&lt;0.1,"*","NS")))</f>
        <v>**</v>
      </c>
      <c r="L103" s="4">
        <v>71.555469762516054</v>
      </c>
      <c r="M103" s="4">
        <v>-10.708950721820166</v>
      </c>
      <c r="N103" s="1564" t="str">
        <f>IF(       0.58&lt;0.01,"***",IF(       0.58&lt;0.05,"**",IF(       0.58&lt;0.1,"*","NS")))</f>
        <v>NS</v>
      </c>
      <c r="P103" s="296" t="s">
        <v>5279</v>
      </c>
      <c r="Q103" s="4">
        <v>80.431457215702636</v>
      </c>
      <c r="R103" s="4">
        <v>71.555469762516054</v>
      </c>
      <c r="S103" s="4">
        <v>-8.8759874531866156</v>
      </c>
      <c r="T103" s="1565" t="str">
        <f>IF(       0.133&lt;0.01,"***",IF(       0.133&lt;0.05,"**",IF(       0.133&lt;0.1,"*","NS")))</f>
        <v>NS</v>
      </c>
    </row>
    <row r="104" spans="1:20" x14ac:dyDescent="0.2">
      <c r="A104" s="296" t="s">
        <v>5194</v>
      </c>
      <c r="B104" s="4">
        <v>98.040955461417738</v>
      </c>
      <c r="C104" s="4">
        <v>98.52038692963481</v>
      </c>
      <c r="D104" s="4">
        <v>0.4794314682170755</v>
      </c>
      <c r="E104" s="1566" t="str">
        <f>IF(       0.578&lt;0.01,"***",IF(       0.578&lt;0.05,"**",IF(       0.578&lt;0.1,"*","NS")))</f>
        <v>NS</v>
      </c>
      <c r="G104" s="296" t="s">
        <v>5234</v>
      </c>
      <c r="H104" s="4">
        <v>98.040955461417738</v>
      </c>
      <c r="I104" s="4">
        <v>98.154085874296825</v>
      </c>
      <c r="J104" s="4">
        <v>0.11313041287908533</v>
      </c>
      <c r="K104" s="1567" t="str">
        <f>IF(       0.914&lt;0.01,"***",IF(       0.914&lt;0.05,"**",IF(       0.914&lt;0.1,"*","NS")))</f>
        <v>NS</v>
      </c>
      <c r="L104" s="4">
        <v>100</v>
      </c>
      <c r="M104" s="4">
        <v>1.9590445385822988</v>
      </c>
      <c r="N104" s="1568" t="str">
        <f>IF(       0.079&lt;0.01,"***",IF(       0.079&lt;0.05,"**",IF(       0.079&lt;0.1,"*","NS")))</f>
        <v>*</v>
      </c>
      <c r="P104" s="296" t="s">
        <v>5280</v>
      </c>
      <c r="Q104" s="4">
        <v>98.052744283191842</v>
      </c>
      <c r="R104" s="4">
        <v>100</v>
      </c>
      <c r="S104" s="4">
        <v>1.9472557168081468</v>
      </c>
      <c r="T104" s="1569" t="str">
        <f>IF(       0&lt;0.01,"***",IF(       0&lt;0.05,"**",IF(       0&lt;0.1,"*","NS")))</f>
        <v>***</v>
      </c>
    </row>
    <row r="105" spans="1:20" x14ac:dyDescent="0.2">
      <c r="A105" s="296" t="s">
        <v>5195</v>
      </c>
      <c r="B105" s="4" t="s">
        <v>6067</v>
      </c>
      <c r="C105" s="4" t="s">
        <v>6067</v>
      </c>
      <c r="D105" s="4" t="s">
        <v>6067</v>
      </c>
      <c r="E105" s="4" t="s">
        <v>6067</v>
      </c>
      <c r="G105" s="296" t="s">
        <v>5235</v>
      </c>
      <c r="H105" s="4" t="s">
        <v>6067</v>
      </c>
      <c r="I105" s="4" t="s">
        <v>6067</v>
      </c>
      <c r="J105" s="4" t="s">
        <v>6067</v>
      </c>
      <c r="K105" s="4" t="s">
        <v>6067</v>
      </c>
      <c r="L105" s="4" t="s">
        <v>6067</v>
      </c>
      <c r="M105" s="4" t="s">
        <v>6067</v>
      </c>
      <c r="N105" s="4" t="s">
        <v>6067</v>
      </c>
      <c r="P105" s="296" t="s">
        <v>5281</v>
      </c>
      <c r="Q105" s="4" t="s">
        <v>6067</v>
      </c>
      <c r="R105" s="4" t="s">
        <v>6067</v>
      </c>
      <c r="S105" s="4" t="s">
        <v>6067</v>
      </c>
      <c r="T105" s="4" t="s">
        <v>6067</v>
      </c>
    </row>
    <row r="106" spans="1:20" x14ac:dyDescent="0.2">
      <c r="A106" s="296" t="s">
        <v>5196</v>
      </c>
      <c r="B106" s="4">
        <v>84.115272096698305</v>
      </c>
      <c r="C106" s="4">
        <v>79.88278008669397</v>
      </c>
      <c r="D106" s="4">
        <v>-4.2324920100043766</v>
      </c>
      <c r="E106" s="1570" t="str">
        <f>IF(       0.086&lt;0.01,"***",IF(       0.086&lt;0.05,"**",IF(       0.086&lt;0.1,"*","NS")))</f>
        <v>*</v>
      </c>
      <c r="G106" s="296" t="s">
        <v>5236</v>
      </c>
      <c r="H106" s="4">
        <v>84.115272096698305</v>
      </c>
      <c r="I106" s="4">
        <v>79.717617005535672</v>
      </c>
      <c r="J106" s="4">
        <v>-4.397655091162612</v>
      </c>
      <c r="K106" s="1571" t="str">
        <f>IF(       0.129&lt;0.01,"***",IF(       0.129&lt;0.05,"**",IF(       0.129&lt;0.1,"*","NS")))</f>
        <v>NS</v>
      </c>
      <c r="L106" s="4">
        <v>80.319474783789431</v>
      </c>
      <c r="M106" s="4">
        <v>-3.79579731290886</v>
      </c>
      <c r="N106" s="1572" t="str">
        <f>IF(       0.917&lt;0.01,"***",IF(       0.917&lt;0.05,"**",IF(       0.917&lt;0.1,"*","NS")))</f>
        <v>NS</v>
      </c>
      <c r="P106" s="296" t="s">
        <v>5282</v>
      </c>
      <c r="Q106" s="4">
        <v>83.05366942265124</v>
      </c>
      <c r="R106" s="4">
        <v>80.319474783789431</v>
      </c>
      <c r="S106" s="4">
        <v>-2.7341946388618132</v>
      </c>
      <c r="T106" s="1573" t="str">
        <f>IF(       0.442&lt;0.01,"***",IF(       0.442&lt;0.05,"**",IF(       0.442&lt;0.1,"*","NS")))</f>
        <v>NS</v>
      </c>
    </row>
    <row r="107" spans="1:20" x14ac:dyDescent="0.2">
      <c r="A107" s="296" t="s">
        <v>5197</v>
      </c>
      <c r="B107" s="4">
        <v>69.057335643175662</v>
      </c>
      <c r="C107" s="4">
        <v>64.183154373146493</v>
      </c>
      <c r="D107" s="4">
        <v>-4.8741812700291431</v>
      </c>
      <c r="E107" s="1574" t="str">
        <f>IF(       0.052&lt;0.01,"***",IF(       0.052&lt;0.05,"**",IF(       0.052&lt;0.1,"*","NS")))</f>
        <v>*</v>
      </c>
      <c r="G107" s="296" t="s">
        <v>5237</v>
      </c>
      <c r="H107" s="4">
        <v>69.057335643175662</v>
      </c>
      <c r="I107" s="4">
        <v>64.924105759901522</v>
      </c>
      <c r="J107" s="4">
        <v>-4.1332298832740868</v>
      </c>
      <c r="K107" s="1575" t="str">
        <f>IF(       0.087&lt;0.01,"***",IF(       0.087&lt;0.05,"**",IF(       0.087&lt;0.1,"*","NS")))</f>
        <v>*</v>
      </c>
      <c r="L107" s="4">
        <v>59.835045929833079</v>
      </c>
      <c r="M107" s="4">
        <v>-9.2222897133425139</v>
      </c>
      <c r="N107" s="1576" t="str">
        <f>IF(       0.291&lt;0.01,"***",IF(       0.291&lt;0.05,"**",IF(       0.291&lt;0.1,"*","NS")))</f>
        <v>NS</v>
      </c>
      <c r="P107" s="296" t="s">
        <v>5283</v>
      </c>
      <c r="Q107" s="4">
        <v>67.734945033535382</v>
      </c>
      <c r="R107" s="4">
        <v>59.835045929833079</v>
      </c>
      <c r="S107" s="4">
        <v>-7.8998991037022357</v>
      </c>
      <c r="T107" s="1577" t="str">
        <f>IF(       0.141&lt;0.01,"***",IF(       0.141&lt;0.05,"**",IF(       0.141&lt;0.1,"*","NS")))</f>
        <v>NS</v>
      </c>
    </row>
    <row r="108" spans="1:20" x14ac:dyDescent="0.2">
      <c r="A108" s="296" t="s">
        <v>5198</v>
      </c>
      <c r="B108" s="4">
        <v>90.478360963718828</v>
      </c>
      <c r="C108" s="4">
        <v>85.73397123854248</v>
      </c>
      <c r="D108" s="4">
        <v>-4.7443897251762683</v>
      </c>
      <c r="E108" s="1578" t="str">
        <f>IF(       0.004&lt;0.01,"***",IF(       0.004&lt;0.05,"**",IF(       0.004&lt;0.1,"*","NS")))</f>
        <v>***</v>
      </c>
      <c r="G108" s="296" t="s">
        <v>5238</v>
      </c>
      <c r="H108" s="4">
        <v>90.478360963718828</v>
      </c>
      <c r="I108" s="4">
        <v>86.951678985466074</v>
      </c>
      <c r="J108" s="4">
        <v>-3.5266819782527858</v>
      </c>
      <c r="K108" s="1579" t="str">
        <f>IF(       0.022&lt;0.01,"***",IF(       0.022&lt;0.05,"**",IF(       0.022&lt;0.1,"*","NS")))</f>
        <v>**</v>
      </c>
      <c r="L108" s="4">
        <v>80.822554543030165</v>
      </c>
      <c r="M108" s="4">
        <v>-9.6558064206884833</v>
      </c>
      <c r="N108" s="1580" t="str">
        <f>IF(       0.1&lt;0.01,"***",IF(       0.1&lt;0.05,"**",IF(       0.1&lt;0.1,"*","NS")))</f>
        <v>NS</v>
      </c>
      <c r="P108" s="296" t="s">
        <v>5284</v>
      </c>
      <c r="Q108" s="4">
        <v>89.9367117131914</v>
      </c>
      <c r="R108" s="4">
        <v>80.822554543030165</v>
      </c>
      <c r="S108" s="4">
        <v>-9.1141571701612669</v>
      </c>
      <c r="T108" s="1581" t="str">
        <f>IF(       0.083&lt;0.01,"***",IF(       0.083&lt;0.05,"**",IF(       0.083&lt;0.1,"*","NS")))</f>
        <v>*</v>
      </c>
    </row>
    <row r="109" spans="1:20" x14ac:dyDescent="0.2">
      <c r="A109" s="296" t="s">
        <v>5199</v>
      </c>
      <c r="B109" s="4">
        <v>93.047050639648489</v>
      </c>
      <c r="C109" s="4">
        <v>88.118819167580654</v>
      </c>
      <c r="D109" s="4">
        <v>-4.9282314720678793</v>
      </c>
      <c r="E109" s="1582" t="str">
        <f>IF(       0.003&lt;0.01,"***",IF(       0.003&lt;0.05,"**",IF(       0.003&lt;0.1,"*","NS")))</f>
        <v>***</v>
      </c>
      <c r="G109" s="296" t="s">
        <v>5239</v>
      </c>
      <c r="H109" s="4">
        <v>93.047050639648489</v>
      </c>
      <c r="I109" s="4">
        <v>88.811532354422653</v>
      </c>
      <c r="J109" s="4">
        <v>-4.2355182852259272</v>
      </c>
      <c r="K109" s="1583" t="str">
        <f>IF(       0.007&lt;0.01,"***",IF(       0.007&lt;0.05,"**",IF(       0.007&lt;0.1,"*","NS")))</f>
        <v>***</v>
      </c>
      <c r="L109" s="4">
        <v>84.403264417096338</v>
      </c>
      <c r="M109" s="4">
        <v>-8.6437862225522242</v>
      </c>
      <c r="N109" s="1584" t="str">
        <f>IF(       0.067&lt;0.01,"***",IF(       0.067&lt;0.05,"**",IF(       0.067&lt;0.1,"*","NS")))</f>
        <v>*</v>
      </c>
      <c r="P109" s="296" t="s">
        <v>5285</v>
      </c>
      <c r="Q109" s="4">
        <v>92.416965144472968</v>
      </c>
      <c r="R109" s="4">
        <v>84.403264417096338</v>
      </c>
      <c r="S109" s="4">
        <v>-8.0137007273766532</v>
      </c>
      <c r="T109" s="1585" t="str">
        <f>IF(       0.047&lt;0.01,"***",IF(       0.047&lt;0.05,"**",IF(       0.047&lt;0.1,"*","NS")))</f>
        <v>**</v>
      </c>
    </row>
    <row r="110" spans="1:20" x14ac:dyDescent="0.2">
      <c r="A110" s="296" t="s">
        <v>5200</v>
      </c>
      <c r="B110" s="4">
        <v>77.580159780818462</v>
      </c>
      <c r="C110" s="4">
        <v>73.365247528648212</v>
      </c>
      <c r="D110" s="4">
        <v>-4.2149122521702207</v>
      </c>
      <c r="E110" s="1586" t="str">
        <f>IF(       0.228&lt;0.01,"***",IF(       0.228&lt;0.05,"**",IF(       0.228&lt;0.1,"*","NS")))</f>
        <v>NS</v>
      </c>
      <c r="G110" s="296" t="s">
        <v>5240</v>
      </c>
      <c r="H110" s="4">
        <v>77.580159780818462</v>
      </c>
      <c r="I110" s="4">
        <v>71.969261885108793</v>
      </c>
      <c r="J110" s="4">
        <v>-5.6108978957096349</v>
      </c>
      <c r="K110" s="1587" t="str">
        <f>IF(       0.142&lt;0.01,"***",IF(       0.142&lt;0.05,"**",IF(       0.142&lt;0.1,"*","NS")))</f>
        <v>NS</v>
      </c>
      <c r="L110" s="4">
        <v>78.840526594275843</v>
      </c>
      <c r="M110" s="4">
        <v>1.2603668134573824</v>
      </c>
      <c r="N110" s="1588" t="str">
        <f>IF(       0.035&lt;0.01,"***",IF(       0.035&lt;0.05,"**",IF(       0.035&lt;0.1,"*","NS")))</f>
        <v>**</v>
      </c>
      <c r="P110" s="296" t="s">
        <v>5286</v>
      </c>
      <c r="Q110" s="4">
        <v>76.809580339126484</v>
      </c>
      <c r="R110" s="4">
        <v>78.840526594275843</v>
      </c>
      <c r="S110" s="4">
        <v>2.0309462551493707</v>
      </c>
      <c r="T110" s="1589" t="str">
        <f>IF(       0.701&lt;0.01,"***",IF(       0.701&lt;0.05,"**",IF(       0.701&lt;0.1,"*","NS")))</f>
        <v>NS</v>
      </c>
    </row>
    <row r="111" spans="1:20" x14ac:dyDescent="0.2">
      <c r="A111" s="296" t="s">
        <v>5201</v>
      </c>
      <c r="B111" s="4">
        <v>83.424684849156336</v>
      </c>
      <c r="C111" s="4">
        <v>82.388164960625829</v>
      </c>
      <c r="D111" s="4">
        <v>-1.0365198885305287</v>
      </c>
      <c r="E111" s="1590" t="str">
        <f>IF(       0.631&lt;0.01,"***",IF(       0.631&lt;0.05,"**",IF(       0.631&lt;0.1,"*","NS")))</f>
        <v>NS</v>
      </c>
      <c r="G111" s="296" t="s">
        <v>5241</v>
      </c>
      <c r="H111" s="4">
        <v>83.424684849156336</v>
      </c>
      <c r="I111" s="4">
        <v>82.557351510873744</v>
      </c>
      <c r="J111" s="4">
        <v>-0.86733333828258685</v>
      </c>
      <c r="K111" s="1591" t="str">
        <f>IF(       0.704&lt;0.01,"***",IF(       0.704&lt;0.05,"**",IF(       0.704&lt;0.1,"*","NS")))</f>
        <v>NS</v>
      </c>
      <c r="L111" s="4">
        <v>81.734900632364713</v>
      </c>
      <c r="M111" s="4">
        <v>-1.6897842167916113</v>
      </c>
      <c r="N111" s="1592" t="str">
        <f>IF(       0.813&lt;0.01,"***",IF(       0.813&lt;0.05,"**",IF(       0.813&lt;0.1,"*","NS")))</f>
        <v>NS</v>
      </c>
      <c r="P111" s="296" t="s">
        <v>5287</v>
      </c>
      <c r="Q111" s="4">
        <v>83.195928395866133</v>
      </c>
      <c r="R111" s="4">
        <v>81.734900632364713</v>
      </c>
      <c r="S111" s="4">
        <v>-1.461027763501408</v>
      </c>
      <c r="T111" s="1593" t="str">
        <f>IF(       0.672&lt;0.01,"***",IF(       0.672&lt;0.05,"**",IF(       0.672&lt;0.1,"*","NS")))</f>
        <v>NS</v>
      </c>
    </row>
    <row r="112" spans="1:20" x14ac:dyDescent="0.2">
      <c r="A112" s="296" t="s">
        <v>5202</v>
      </c>
      <c r="B112" s="4">
        <v>73.643231978669434</v>
      </c>
      <c r="C112" s="4">
        <v>64.990806097763198</v>
      </c>
      <c r="D112" s="4">
        <v>-8.6524258809062111</v>
      </c>
      <c r="E112" s="1594" t="str">
        <f>IF(       0.001&lt;0.01,"***",IF(       0.001&lt;0.05,"**",IF(       0.001&lt;0.1,"*","NS")))</f>
        <v>***</v>
      </c>
      <c r="G112" s="296" t="s">
        <v>5242</v>
      </c>
      <c r="H112" s="4">
        <v>73.643231978669434</v>
      </c>
      <c r="I112" s="4">
        <v>64.856912087337122</v>
      </c>
      <c r="J112" s="4">
        <v>-8.7863198913323775</v>
      </c>
      <c r="K112" s="1595" t="str">
        <f>IF(       0.001&lt;0.01,"***",IF(       0.001&lt;0.05,"**",IF(       0.001&lt;0.1,"*","NS")))</f>
        <v>***</v>
      </c>
      <c r="L112" s="4">
        <v>65.780468622955297</v>
      </c>
      <c r="M112" s="4">
        <v>-7.8627633557141516</v>
      </c>
      <c r="N112" s="1596" t="str">
        <f>IF(       0.637&lt;0.01,"***",IF(       0.637&lt;0.05,"**",IF(       0.637&lt;0.1,"*","NS")))</f>
        <v>NS</v>
      </c>
      <c r="P112" s="296" t="s">
        <v>5288</v>
      </c>
      <c r="Q112" s="4">
        <v>72.01152862888425</v>
      </c>
      <c r="R112" s="4">
        <v>65.780468622955297</v>
      </c>
      <c r="S112" s="4">
        <v>-6.2310600059290859</v>
      </c>
      <c r="T112" s="1597" t="str">
        <f>IF(       0.329&lt;0.01,"***",IF(       0.329&lt;0.05,"**",IF(       0.329&lt;0.1,"*","NS")))</f>
        <v>NS</v>
      </c>
    </row>
    <row r="113" spans="1:20" x14ac:dyDescent="0.2">
      <c r="A113" s="296" t="s">
        <v>5835</v>
      </c>
      <c r="B113" s="4">
        <v>82.16584348044077</v>
      </c>
      <c r="C113" s="4">
        <v>76.42596016574754</v>
      </c>
      <c r="D113" s="4">
        <v>-5.7398833146933068</v>
      </c>
      <c r="E113" s="1598" t="str">
        <f>IF(       0&lt;0.01,"***",IF(       0&lt;0.05,"**",IF(       0&lt;0.1,"*","NS")))</f>
        <v>***</v>
      </c>
      <c r="G113" s="296" t="s">
        <v>5835</v>
      </c>
      <c r="H113" s="4">
        <v>82.16584348044077</v>
      </c>
      <c r="I113" s="4">
        <v>76.660917963193938</v>
      </c>
      <c r="J113" s="4">
        <v>-5.504925517246785</v>
      </c>
      <c r="K113" s="1599" t="str">
        <f>IF(       0&lt;0.01,"***",IF(       0&lt;0.05,"**",IF(       0&lt;0.1,"*","NS")))</f>
        <v>***</v>
      </c>
      <c r="L113" s="4">
        <v>75.274414435317013</v>
      </c>
      <c r="M113" s="4">
        <v>-6.8914290451241564</v>
      </c>
      <c r="N113" s="1600" t="str">
        <f>IF(       0&lt;0.01,"***",IF(       0&lt;0.05,"**",IF(       0&lt;0.1,"*","NS")))</f>
        <v>***</v>
      </c>
      <c r="P113" s="296" t="s">
        <v>5835</v>
      </c>
      <c r="Q113" s="4">
        <v>81.112255995152637</v>
      </c>
      <c r="R113" s="4">
        <v>75.274414435317013</v>
      </c>
      <c r="S113" s="4">
        <v>-5.837841559835959</v>
      </c>
      <c r="T113" s="1601" t="str">
        <f>IF(       0&lt;0.01,"***",IF(       0&lt;0.05,"**",IF(       0&lt;0.1,"*","NS")))</f>
        <v>***</v>
      </c>
    </row>
    <row r="115" spans="1:20" x14ac:dyDescent="0.2">
      <c r="A115" s="296" t="s">
        <v>5768</v>
      </c>
      <c r="G115" s="296" t="s">
        <v>5769</v>
      </c>
      <c r="P115" s="296" t="s">
        <v>5770</v>
      </c>
    </row>
    <row r="116" spans="1:20" s="3" customFormat="1" x14ac:dyDescent="0.2">
      <c r="A116" s="5478" t="s">
        <v>5203</v>
      </c>
      <c r="B116" s="5479" t="s">
        <v>5204</v>
      </c>
      <c r="C116" s="5480" t="s">
        <v>5205</v>
      </c>
      <c r="D116" s="5481" t="s">
        <v>5206</v>
      </c>
      <c r="E116" s="5482" t="s">
        <v>5207</v>
      </c>
      <c r="G116" s="5483" t="s">
        <v>5243</v>
      </c>
      <c r="H116" s="5484" t="s">
        <v>5244</v>
      </c>
      <c r="I116" s="5485" t="s">
        <v>5245</v>
      </c>
      <c r="J116" s="5486" t="s">
        <v>5246</v>
      </c>
      <c r="K116" s="5487" t="s">
        <v>5247</v>
      </c>
      <c r="L116" s="5488" t="s">
        <v>5266</v>
      </c>
      <c r="M116" s="5489" t="s">
        <v>5267</v>
      </c>
      <c r="N116" s="5490" t="s">
        <v>5268</v>
      </c>
      <c r="P116" s="5491" t="s">
        <v>5289</v>
      </c>
      <c r="Q116" s="5492" t="s">
        <v>5290</v>
      </c>
      <c r="R116" s="5493" t="s">
        <v>5291</v>
      </c>
      <c r="S116" s="5494" t="s">
        <v>5292</v>
      </c>
      <c r="T116" s="5495" t="s">
        <v>5293</v>
      </c>
    </row>
    <row r="117" spans="1:20" x14ac:dyDescent="0.2">
      <c r="A117" s="296" t="s">
        <v>5208</v>
      </c>
      <c r="B117" s="4">
        <v>56.969851202796519</v>
      </c>
      <c r="C117" s="4">
        <v>42.113835623135458</v>
      </c>
      <c r="D117" s="4">
        <v>-14.856015579661028</v>
      </c>
      <c r="E117" s="1602" t="str">
        <f>IF(       0.002&lt;0.01,"***",IF(       0.002&lt;0.05,"**",IF(       0.002&lt;0.1,"*","NS")))</f>
        <v>***</v>
      </c>
      <c r="G117" s="296" t="s">
        <v>5248</v>
      </c>
      <c r="H117" s="4">
        <v>56.969851202796519</v>
      </c>
      <c r="I117" s="4">
        <v>45.61326197718617</v>
      </c>
      <c r="J117" s="4">
        <v>-11.356589225610346</v>
      </c>
      <c r="K117" s="1603" t="str">
        <f>IF(       0.037&lt;0.01,"***",IF(       0.037&lt;0.05,"**",IF(       0.037&lt;0.1,"*","NS")))</f>
        <v>**</v>
      </c>
      <c r="L117" s="4">
        <v>34.971448249814763</v>
      </c>
      <c r="M117" s="4">
        <v>-21.998402952981778</v>
      </c>
      <c r="N117" s="1604" t="str">
        <f>IF(       0&lt;0.01,"***",IF(       0&lt;0.05,"**",IF(       0&lt;0.1,"*","NS")))</f>
        <v>***</v>
      </c>
      <c r="P117" s="296" t="s">
        <v>5294</v>
      </c>
      <c r="Q117" s="4">
        <v>49.529640416283748</v>
      </c>
      <c r="R117" s="4">
        <v>34.971448249814763</v>
      </c>
      <c r="S117" s="4">
        <v>-14.558192166468961</v>
      </c>
      <c r="T117" s="1605" t="str">
        <f>IF(       0.007&lt;0.01,"***",IF(       0.007&lt;0.05,"**",IF(       0.007&lt;0.1,"*","NS")))</f>
        <v>***</v>
      </c>
    </row>
    <row r="118" spans="1:20" x14ac:dyDescent="0.2">
      <c r="A118" s="296" t="s">
        <v>5209</v>
      </c>
      <c r="B118" s="4">
        <v>87.665792849036166</v>
      </c>
      <c r="C118" s="4">
        <v>73.951937505053536</v>
      </c>
      <c r="D118" s="4">
        <v>-13.713855343982557</v>
      </c>
      <c r="E118" s="1606" t="str">
        <f>IF(       0&lt;0.01,"***",IF(       0&lt;0.05,"**",IF(       0&lt;0.1,"*","NS")))</f>
        <v>***</v>
      </c>
      <c r="G118" s="296" t="s">
        <v>5249</v>
      </c>
      <c r="H118" s="4">
        <v>87.665792849036166</v>
      </c>
      <c r="I118" s="4">
        <v>77.03199173428176</v>
      </c>
      <c r="J118" s="4">
        <v>-10.633801114754373</v>
      </c>
      <c r="K118" s="1607" t="str">
        <f>IF(       0.001&lt;0.01,"***",IF(       0.001&lt;0.05,"**",IF(       0.001&lt;0.1,"*","NS")))</f>
        <v>***</v>
      </c>
      <c r="L118" s="4">
        <v>68.728651020889586</v>
      </c>
      <c r="M118" s="4">
        <v>-18.937141828146615</v>
      </c>
      <c r="N118" s="1608" t="str">
        <f>IF(       0&lt;0.01,"***",IF(       0&lt;0.05,"**",IF(       0&lt;0.1,"*","NS")))</f>
        <v>***</v>
      </c>
      <c r="P118" s="296" t="s">
        <v>5295</v>
      </c>
      <c r="Q118" s="4">
        <v>81.279497637462555</v>
      </c>
      <c r="R118" s="4">
        <v>68.728651020889586</v>
      </c>
      <c r="S118" s="4">
        <v>-12.550846616573017</v>
      </c>
      <c r="T118" s="1609" t="str">
        <f>IF(       0.003&lt;0.01,"***",IF(       0.003&lt;0.05,"**",IF(       0.003&lt;0.1,"*","NS")))</f>
        <v>***</v>
      </c>
    </row>
    <row r="119" spans="1:20" x14ac:dyDescent="0.2">
      <c r="A119" s="296" t="s">
        <v>5210</v>
      </c>
      <c r="B119" s="4">
        <v>57.79298859147692</v>
      </c>
      <c r="C119" s="4">
        <v>45.90609260476959</v>
      </c>
      <c r="D119" s="4">
        <v>-11.886895986707344</v>
      </c>
      <c r="E119" s="1610" t="str">
        <f>IF(       0.025&lt;0.01,"***",IF(       0.025&lt;0.05,"**",IF(       0.025&lt;0.1,"*","NS")))</f>
        <v>**</v>
      </c>
      <c r="G119" s="296" t="s">
        <v>5250</v>
      </c>
      <c r="H119" s="4">
        <v>57.79298859147692</v>
      </c>
      <c r="I119" s="4">
        <v>48.739536091648233</v>
      </c>
      <c r="J119" s="4">
        <v>-9.0534524998286976</v>
      </c>
      <c r="K119" s="1611" t="str">
        <f>IF(       0.053&lt;0.01,"***",IF(       0.053&lt;0.05,"**",IF(       0.053&lt;0.1,"*","NS")))</f>
        <v>*</v>
      </c>
      <c r="L119" s="4">
        <v>39.519451722759037</v>
      </c>
      <c r="M119" s="4">
        <v>-18.273536868717887</v>
      </c>
      <c r="N119" s="1612" t="str">
        <f>IF(       0.022&lt;0.01,"***",IF(       0.022&lt;0.05,"**",IF(       0.022&lt;0.1,"*","NS")))</f>
        <v>**</v>
      </c>
      <c r="P119" s="296" t="s">
        <v>5296</v>
      </c>
      <c r="Q119" s="4">
        <v>53.459066795196271</v>
      </c>
      <c r="R119" s="4">
        <v>39.519451722759037</v>
      </c>
      <c r="S119" s="4">
        <v>-13.939615072437276</v>
      </c>
      <c r="T119" s="1613" t="str">
        <f>IF(       0.034&lt;0.01,"***",IF(       0.034&lt;0.05,"**",IF(       0.034&lt;0.1,"*","NS")))</f>
        <v>**</v>
      </c>
    </row>
    <row r="120" spans="1:20" x14ac:dyDescent="0.2">
      <c r="A120" s="296" t="s">
        <v>5211</v>
      </c>
      <c r="B120" s="4">
        <v>70.171783275528497</v>
      </c>
      <c r="C120" s="4">
        <v>56.176379620130668</v>
      </c>
      <c r="D120" s="4">
        <v>-13.995403655397862</v>
      </c>
      <c r="E120" s="1614" t="str">
        <f>IF(       0&lt;0.01,"***",IF(       0&lt;0.05,"**",IF(       0&lt;0.1,"*","NS")))</f>
        <v>***</v>
      </c>
      <c r="G120" s="296" t="s">
        <v>5251</v>
      </c>
      <c r="H120" s="4">
        <v>70.171783275528497</v>
      </c>
      <c r="I120" s="4">
        <v>59.046503208189947</v>
      </c>
      <c r="J120" s="4">
        <v>-11.125280067338553</v>
      </c>
      <c r="K120" s="1615" t="str">
        <f>IF(       0.003&lt;0.01,"***",IF(       0.003&lt;0.05,"**",IF(       0.003&lt;0.1,"*","NS")))</f>
        <v>***</v>
      </c>
      <c r="L120" s="4">
        <v>49.491507167603068</v>
      </c>
      <c r="M120" s="4">
        <v>-20.680276107925341</v>
      </c>
      <c r="N120" s="1616" t="str">
        <f>IF(       0.001&lt;0.01,"***",IF(       0.001&lt;0.05,"**",IF(       0.001&lt;0.1,"*","NS")))</f>
        <v>***</v>
      </c>
      <c r="P120" s="296" t="s">
        <v>5297</v>
      </c>
      <c r="Q120" s="4">
        <v>64.053145270480968</v>
      </c>
      <c r="R120" s="4">
        <v>49.491507167603068</v>
      </c>
      <c r="S120" s="4">
        <v>-14.561638102877863</v>
      </c>
      <c r="T120" s="1617" t="str">
        <f>IF(       0.006&lt;0.01,"***",IF(       0.006&lt;0.05,"**",IF(       0.006&lt;0.1,"*","NS")))</f>
        <v>***</v>
      </c>
    </row>
    <row r="121" spans="1:20" x14ac:dyDescent="0.2">
      <c r="A121" s="296" t="s">
        <v>5212</v>
      </c>
      <c r="B121" s="4">
        <v>63.846023332331562</v>
      </c>
      <c r="C121" s="4">
        <v>65.405355322778036</v>
      </c>
      <c r="D121" s="4">
        <v>1.5593319904464791</v>
      </c>
      <c r="E121" s="1618" t="str">
        <f>IF(       0.725&lt;0.01,"***",IF(       0.725&lt;0.05,"**",IF(       0.725&lt;0.1,"*","NS")))</f>
        <v>NS</v>
      </c>
      <c r="G121" s="296" t="s">
        <v>5252</v>
      </c>
      <c r="H121" s="4">
        <v>63.846023332331562</v>
      </c>
      <c r="I121" s="4">
        <v>67.715919136459135</v>
      </c>
      <c r="J121" s="4">
        <v>3.8698958041275691</v>
      </c>
      <c r="K121" s="1619" t="str">
        <f>IF(       0.366&lt;0.01,"***",IF(       0.366&lt;0.05,"**",IF(       0.366&lt;0.1,"*","NS")))</f>
        <v>NS</v>
      </c>
      <c r="L121" s="4">
        <v>58.189186258872887</v>
      </c>
      <c r="M121" s="4">
        <v>-5.6568370734586741</v>
      </c>
      <c r="N121" s="1620" t="str">
        <f>IF(       0.511&lt;0.01,"***",IF(       0.511&lt;0.05,"**",IF(       0.511&lt;0.1,"*","NS")))</f>
        <v>NS</v>
      </c>
      <c r="P121" s="296" t="s">
        <v>5298</v>
      </c>
      <c r="Q121" s="4">
        <v>66.146562722120521</v>
      </c>
      <c r="R121" s="4">
        <v>58.189186258872887</v>
      </c>
      <c r="S121" s="4">
        <v>-7.9573764632476465</v>
      </c>
      <c r="T121" s="1621" t="str">
        <f>IF(       0.311&lt;0.01,"***",IF(       0.311&lt;0.05,"**",IF(       0.311&lt;0.1,"*","NS")))</f>
        <v>NS</v>
      </c>
    </row>
    <row r="122" spans="1:20" x14ac:dyDescent="0.2">
      <c r="A122" s="296" t="s">
        <v>5213</v>
      </c>
      <c r="B122" s="4">
        <v>81.024849746098326</v>
      </c>
      <c r="C122" s="4">
        <v>66.125368570489798</v>
      </c>
      <c r="D122" s="4">
        <v>-14.899481175608626</v>
      </c>
      <c r="E122" s="1622" t="str">
        <f>IF(       0&lt;0.01,"***",IF(       0&lt;0.05,"**",IF(       0&lt;0.1,"*","NS")))</f>
        <v>***</v>
      </c>
      <c r="G122" s="296" t="s">
        <v>5253</v>
      </c>
      <c r="H122" s="4">
        <v>81.024849746098326</v>
      </c>
      <c r="I122" s="4">
        <v>70.346410954483986</v>
      </c>
      <c r="J122" s="4">
        <v>-10.678438791614351</v>
      </c>
      <c r="K122" s="1623" t="str">
        <f>IF(       0.008&lt;0.01,"***",IF(       0.008&lt;0.05,"**",IF(       0.008&lt;0.1,"*","NS")))</f>
        <v>***</v>
      </c>
      <c r="L122" s="4">
        <v>57.311611326610077</v>
      </c>
      <c r="M122" s="4">
        <v>-23.713238419488295</v>
      </c>
      <c r="N122" s="1624" t="str">
        <f>IF(       0&lt;0.01,"***",IF(       0&lt;0.05,"**",IF(       0&lt;0.1,"*","NS")))</f>
        <v>***</v>
      </c>
      <c r="P122" s="296" t="s">
        <v>5299</v>
      </c>
      <c r="Q122" s="4">
        <v>74.876566386646559</v>
      </c>
      <c r="R122" s="4">
        <v>57.311611326610077</v>
      </c>
      <c r="S122" s="4">
        <v>-17.564955060036496</v>
      </c>
      <c r="T122" s="1625" t="str">
        <f>IF(       0.001&lt;0.01,"***",IF(       0.001&lt;0.05,"**",IF(       0.001&lt;0.1,"*","NS")))</f>
        <v>***</v>
      </c>
    </row>
    <row r="123" spans="1:20" x14ac:dyDescent="0.2">
      <c r="A123" s="296" t="s">
        <v>5214</v>
      </c>
      <c r="B123" s="4" t="s">
        <v>6067</v>
      </c>
      <c r="C123" s="4" t="s">
        <v>6067</v>
      </c>
      <c r="D123" s="4" t="s">
        <v>6067</v>
      </c>
      <c r="E123" s="4" t="s">
        <v>6067</v>
      </c>
      <c r="G123" s="296" t="s">
        <v>5254</v>
      </c>
      <c r="H123" s="4" t="s">
        <v>6067</v>
      </c>
      <c r="I123" s="4" t="s">
        <v>6067</v>
      </c>
      <c r="J123" s="4" t="s">
        <v>6067</v>
      </c>
      <c r="K123" s="4" t="s">
        <v>6067</v>
      </c>
      <c r="L123" s="4" t="s">
        <v>6067</v>
      </c>
      <c r="M123" s="4" t="s">
        <v>6067</v>
      </c>
      <c r="N123" s="4" t="s">
        <v>6067</v>
      </c>
      <c r="P123" s="296" t="s">
        <v>5300</v>
      </c>
      <c r="Q123" s="4" t="s">
        <v>6067</v>
      </c>
      <c r="R123" s="4" t="s">
        <v>6067</v>
      </c>
      <c r="S123" s="4" t="s">
        <v>6067</v>
      </c>
      <c r="T123" s="4" t="s">
        <v>6067</v>
      </c>
    </row>
    <row r="124" spans="1:20" x14ac:dyDescent="0.2">
      <c r="A124" s="296" t="s">
        <v>5215</v>
      </c>
      <c r="B124" s="4">
        <v>35.519046012400139</v>
      </c>
      <c r="C124" s="4">
        <v>22.191822561028349</v>
      </c>
      <c r="D124" s="4">
        <v>-13.3272234513718</v>
      </c>
      <c r="E124" s="1626" t="str">
        <f>IF(       0.022&lt;0.01,"***",IF(       0.022&lt;0.05,"**",IF(       0.022&lt;0.1,"*","NS")))</f>
        <v>**</v>
      </c>
      <c r="G124" s="296" t="s">
        <v>5255</v>
      </c>
      <c r="H124" s="4">
        <v>35.519046012400139</v>
      </c>
      <c r="I124" s="4">
        <v>23.116345786843091</v>
      </c>
      <c r="J124" s="4">
        <v>-12.402700225557028</v>
      </c>
      <c r="K124" s="1627" t="str">
        <f>IF(       0.028&lt;0.01,"***",IF(       0.028&lt;0.05,"**",IF(       0.028&lt;0.1,"*","NS")))</f>
        <v>**</v>
      </c>
      <c r="L124" s="4">
        <v>19.758147478787599</v>
      </c>
      <c r="M124" s="4">
        <v>-15.760898533612588</v>
      </c>
      <c r="N124" s="1628" t="str">
        <f>IF(       0.029&lt;0.01,"***",IF(       0.029&lt;0.05,"**",IF(       0.029&lt;0.1,"*","NS")))</f>
        <v>**</v>
      </c>
      <c r="P124" s="296" t="s">
        <v>5301</v>
      </c>
      <c r="Q124" s="4">
        <v>30.382040743519219</v>
      </c>
      <c r="R124" s="4">
        <v>19.758147478787599</v>
      </c>
      <c r="S124" s="4">
        <v>-10.62389326473164</v>
      </c>
      <c r="T124" s="1629" t="str">
        <f>IF(       0.057&lt;0.01,"***",IF(       0.057&lt;0.05,"**",IF(       0.057&lt;0.1,"*","NS")))</f>
        <v>*</v>
      </c>
    </row>
    <row r="125" spans="1:20" x14ac:dyDescent="0.2">
      <c r="A125" s="296" t="s">
        <v>5216</v>
      </c>
      <c r="B125" s="4">
        <v>79.083459945647789</v>
      </c>
      <c r="C125" s="4">
        <v>69.686703569227575</v>
      </c>
      <c r="D125" s="4">
        <v>-9.3967563764202868</v>
      </c>
      <c r="E125" s="1630" t="str">
        <f>IF(       0.013&lt;0.01,"***",IF(       0.013&lt;0.05,"**",IF(       0.013&lt;0.1,"*","NS")))</f>
        <v>**</v>
      </c>
      <c r="G125" s="296" t="s">
        <v>5256</v>
      </c>
      <c r="H125" s="4">
        <v>79.083459945647789</v>
      </c>
      <c r="I125" s="4">
        <v>76.85190542928585</v>
      </c>
      <c r="J125" s="4">
        <v>-2.2315545163619377</v>
      </c>
      <c r="K125" s="1631" t="str">
        <f>IF(       0.596&lt;0.01,"***",IF(       0.596&lt;0.05,"**",IF(       0.596&lt;0.1,"*","NS")))</f>
        <v>NS</v>
      </c>
      <c r="L125" s="4">
        <v>61.939737358264253</v>
      </c>
      <c r="M125" s="4">
        <v>-17.143722587383575</v>
      </c>
      <c r="N125" s="1632" t="str">
        <f>IF(       0&lt;0.01,"***",IF(       0&lt;0.05,"**",IF(       0&lt;0.1,"*","NS")))</f>
        <v>***</v>
      </c>
      <c r="P125" s="296" t="s">
        <v>5302</v>
      </c>
      <c r="Q125" s="4">
        <v>77.594398537531632</v>
      </c>
      <c r="R125" s="4">
        <v>61.939737358264253</v>
      </c>
      <c r="S125" s="4">
        <v>-15.654661179267356</v>
      </c>
      <c r="T125" s="1633" t="str">
        <f>IF(       0&lt;0.01,"***",IF(       0&lt;0.05,"**",IF(       0&lt;0.1,"*","NS")))</f>
        <v>***</v>
      </c>
    </row>
    <row r="126" spans="1:20" x14ac:dyDescent="0.2">
      <c r="A126" s="296" t="s">
        <v>5217</v>
      </c>
      <c r="B126" s="4">
        <v>58.547366002360853</v>
      </c>
      <c r="C126" s="4">
        <v>45.88348490157653</v>
      </c>
      <c r="D126" s="4">
        <v>-12.663881100784337</v>
      </c>
      <c r="E126" s="1634" t="str">
        <f>IF(       0.012&lt;0.01,"***",IF(       0.012&lt;0.05,"**",IF(       0.012&lt;0.1,"*","NS")))</f>
        <v>**</v>
      </c>
      <c r="G126" s="296" t="s">
        <v>5257</v>
      </c>
      <c r="H126" s="4">
        <v>58.547366002360853</v>
      </c>
      <c r="I126" s="4">
        <v>50.113816033642848</v>
      </c>
      <c r="J126" s="4">
        <v>-8.4335499687179976</v>
      </c>
      <c r="K126" s="1635" t="str">
        <f>IF(       0.119&lt;0.01,"***",IF(       0.119&lt;0.05,"**",IF(       0.119&lt;0.1,"*","NS")))</f>
        <v>NS</v>
      </c>
      <c r="L126" s="4">
        <v>38.674930341907647</v>
      </c>
      <c r="M126" s="4">
        <v>-19.872435660453181</v>
      </c>
      <c r="N126" s="1636" t="str">
        <f>IF(       0&lt;0.01,"***",IF(       0&lt;0.05,"**",IF(       0&lt;0.1,"*","NS")))</f>
        <v>***</v>
      </c>
      <c r="P126" s="296" t="s">
        <v>5303</v>
      </c>
      <c r="Q126" s="4">
        <v>52.940187258067532</v>
      </c>
      <c r="R126" s="4">
        <v>38.674930341907647</v>
      </c>
      <c r="S126" s="4">
        <v>-14.265256916159919</v>
      </c>
      <c r="T126" s="1637" t="str">
        <f>IF(       0&lt;0.01,"***",IF(       0&lt;0.05,"**",IF(       0&lt;0.1,"*","NS")))</f>
        <v>***</v>
      </c>
    </row>
    <row r="127" spans="1:20" x14ac:dyDescent="0.2">
      <c r="A127" s="296" t="s">
        <v>5218</v>
      </c>
      <c r="B127" s="4">
        <v>89.819671296079449</v>
      </c>
      <c r="C127" s="4">
        <v>77.979612177876689</v>
      </c>
      <c r="D127" s="4">
        <v>-11.840059118202745</v>
      </c>
      <c r="E127" s="1638" t="str">
        <f>IF(       0&lt;0.01,"***",IF(       0&lt;0.05,"**",IF(       0&lt;0.1,"*","NS")))</f>
        <v>***</v>
      </c>
      <c r="G127" s="296" t="s">
        <v>5258</v>
      </c>
      <c r="H127" s="4">
        <v>89.819671296079449</v>
      </c>
      <c r="I127" s="4">
        <v>79.815061052303776</v>
      </c>
      <c r="J127" s="4">
        <v>-10.004610243775684</v>
      </c>
      <c r="K127" s="1639" t="str">
        <f>IF(       0.002&lt;0.01,"***",IF(       0.002&lt;0.05,"**",IF(       0.002&lt;0.1,"*","NS")))</f>
        <v>***</v>
      </c>
      <c r="L127" s="4">
        <v>74.296536339941042</v>
      </c>
      <c r="M127" s="4">
        <v>-15.523134956138417</v>
      </c>
      <c r="N127" s="1640" t="str">
        <f>IF(       0.002&lt;0.01,"***",IF(       0.002&lt;0.05,"**",IF(       0.002&lt;0.1,"*","NS")))</f>
        <v>***</v>
      </c>
      <c r="P127" s="296" t="s">
        <v>5304</v>
      </c>
      <c r="Q127" s="4">
        <v>84.026739253082155</v>
      </c>
      <c r="R127" s="4">
        <v>74.296536339941042</v>
      </c>
      <c r="S127" s="4">
        <v>-9.7302029131411629</v>
      </c>
      <c r="T127" s="1641" t="str">
        <f>IF(       0.033&lt;0.01,"***",IF(       0.033&lt;0.05,"**",IF(       0.033&lt;0.1,"*","NS")))</f>
        <v>**</v>
      </c>
    </row>
    <row r="128" spans="1:20" x14ac:dyDescent="0.2">
      <c r="A128" s="296" t="s">
        <v>5219</v>
      </c>
      <c r="B128" s="4">
        <v>89.7006875185875</v>
      </c>
      <c r="C128" s="4">
        <v>78.932651629272996</v>
      </c>
      <c r="D128" s="4">
        <v>-10.76803588931449</v>
      </c>
      <c r="E128" s="1642" t="str">
        <f>IF(       0.001&lt;0.01,"***",IF(       0.001&lt;0.05,"**",IF(       0.001&lt;0.1,"*","NS")))</f>
        <v>***</v>
      </c>
      <c r="G128" s="296" t="s">
        <v>5259</v>
      </c>
      <c r="H128" s="4">
        <v>89.7006875185875</v>
      </c>
      <c r="I128" s="4">
        <v>85.215318083084554</v>
      </c>
      <c r="J128" s="4">
        <v>-4.4853694355029363</v>
      </c>
      <c r="K128" s="1643" t="str">
        <f>IF(       0.105&lt;0.01,"***",IF(       0.105&lt;0.05,"**",IF(       0.105&lt;0.1,"*","NS")))</f>
        <v>NS</v>
      </c>
      <c r="L128" s="4">
        <v>67.385296086466298</v>
      </c>
      <c r="M128" s="4">
        <v>-22.315391432121224</v>
      </c>
      <c r="N128" s="1644" t="str">
        <f>IF(       0&lt;0.01,"***",IF(       0&lt;0.05,"**",IF(       0&lt;0.1,"*","NS")))</f>
        <v>***</v>
      </c>
      <c r="P128" s="296" t="s">
        <v>5305</v>
      </c>
      <c r="Q128" s="4">
        <v>87.181387505648004</v>
      </c>
      <c r="R128" s="4">
        <v>67.385296086466298</v>
      </c>
      <c r="S128" s="4">
        <v>-19.796091419181728</v>
      </c>
      <c r="T128" s="1645" t="str">
        <f>IF(       0&lt;0.01,"***",IF(       0&lt;0.05,"**",IF(       0&lt;0.1,"*","NS")))</f>
        <v>***</v>
      </c>
    </row>
    <row r="129" spans="1:20" x14ac:dyDescent="0.2">
      <c r="A129" s="296" t="s">
        <v>5220</v>
      </c>
      <c r="B129" s="4">
        <v>73.797911669767601</v>
      </c>
      <c r="C129" s="4">
        <v>63.024418583903177</v>
      </c>
      <c r="D129" s="4">
        <v>-10.773493085864397</v>
      </c>
      <c r="E129" s="1646" t="str">
        <f>IF(       0&lt;0.01,"***",IF(       0&lt;0.05,"**",IF(       0&lt;0.1,"*","NS")))</f>
        <v>***</v>
      </c>
      <c r="G129" s="296" t="s">
        <v>5260</v>
      </c>
      <c r="H129" s="4">
        <v>73.797911669767601</v>
      </c>
      <c r="I129" s="4">
        <v>66.269400403739752</v>
      </c>
      <c r="J129" s="4">
        <v>-7.5285112660278681</v>
      </c>
      <c r="K129" s="1647" t="str">
        <f>IF(       0.011&lt;0.01,"***",IF(       0.011&lt;0.05,"**",IF(       0.011&lt;0.1,"*","NS")))</f>
        <v>**</v>
      </c>
      <c r="L129" s="4">
        <v>54.710583329262207</v>
      </c>
      <c r="M129" s="4">
        <v>-19.08732834050538</v>
      </c>
      <c r="N129" s="1648" t="str">
        <f>IF(       0&lt;0.01,"***",IF(       0&lt;0.05,"**",IF(       0&lt;0.1,"*","NS")))</f>
        <v>***</v>
      </c>
      <c r="P129" s="296" t="s">
        <v>5306</v>
      </c>
      <c r="Q129" s="4">
        <v>69.820132935659828</v>
      </c>
      <c r="R129" s="4">
        <v>54.710583329262207</v>
      </c>
      <c r="S129" s="4">
        <v>-15.10954960639765</v>
      </c>
      <c r="T129" s="1649" t="str">
        <f>IF(       0.004&lt;0.01,"***",IF(       0.004&lt;0.05,"**",IF(       0.004&lt;0.1,"*","NS")))</f>
        <v>***</v>
      </c>
    </row>
    <row r="130" spans="1:20" x14ac:dyDescent="0.2">
      <c r="A130" s="296" t="s">
        <v>5221</v>
      </c>
      <c r="B130" s="4">
        <v>80.26428347974543</v>
      </c>
      <c r="C130" s="4">
        <v>72.648524049494995</v>
      </c>
      <c r="D130" s="4">
        <v>-7.6157594302504599</v>
      </c>
      <c r="E130" s="1650" t="str">
        <f>IF(       0.059&lt;0.01,"***",IF(       0.059&lt;0.05,"**",IF(       0.059&lt;0.1,"*","NS")))</f>
        <v>*</v>
      </c>
      <c r="G130" s="296" t="s">
        <v>5261</v>
      </c>
      <c r="H130" s="4">
        <v>80.26428347974543</v>
      </c>
      <c r="I130" s="4">
        <v>78.709759827913601</v>
      </c>
      <c r="J130" s="4">
        <v>-1.5545236518318275</v>
      </c>
      <c r="K130" s="1651" t="str">
        <f>IF(       0.717&lt;0.01,"***",IF(       0.717&lt;0.05,"**",IF(       0.717&lt;0.1,"*","NS")))</f>
        <v>NS</v>
      </c>
      <c r="L130" s="4">
        <v>65.287337106632435</v>
      </c>
      <c r="M130" s="4">
        <v>-14.976946373113005</v>
      </c>
      <c r="N130" s="1652" t="str">
        <f>IF(       0.002&lt;0.01,"***",IF(       0.002&lt;0.05,"**",IF(       0.002&lt;0.1,"*","NS")))</f>
        <v>***</v>
      </c>
      <c r="P130" s="296" t="s">
        <v>5307</v>
      </c>
      <c r="Q130" s="4">
        <v>79.270798238207306</v>
      </c>
      <c r="R130" s="4">
        <v>65.287337106632435</v>
      </c>
      <c r="S130" s="4">
        <v>-13.9834611315749</v>
      </c>
      <c r="T130" s="1653" t="str">
        <f>IF(       0.001&lt;0.01,"***",IF(       0.001&lt;0.05,"**",IF(       0.001&lt;0.1,"*","NS")))</f>
        <v>***</v>
      </c>
    </row>
    <row r="131" spans="1:20" x14ac:dyDescent="0.2">
      <c r="A131" s="296" t="s">
        <v>5222</v>
      </c>
      <c r="B131" s="4">
        <v>63.262686196200967</v>
      </c>
      <c r="C131" s="4">
        <v>50.374812739316482</v>
      </c>
      <c r="D131" s="4">
        <v>-12.887873456884531</v>
      </c>
      <c r="E131" s="1654" t="str">
        <f>IF(       0.002&lt;0.01,"***",IF(       0.002&lt;0.05,"**",IF(       0.002&lt;0.1,"*","NS")))</f>
        <v>***</v>
      </c>
      <c r="G131" s="296" t="s">
        <v>5262</v>
      </c>
      <c r="H131" s="4">
        <v>63.262686196200967</v>
      </c>
      <c r="I131" s="4">
        <v>53.283189675637701</v>
      </c>
      <c r="J131" s="4">
        <v>-9.9794965205632469</v>
      </c>
      <c r="K131" s="1655" t="str">
        <f>IF(       0.033&lt;0.01,"***",IF(       0.033&lt;0.05,"**",IF(       0.033&lt;0.1,"*","NS")))</f>
        <v>**</v>
      </c>
      <c r="L131" s="4">
        <v>44.597656073092963</v>
      </c>
      <c r="M131" s="4">
        <v>-18.665030123108032</v>
      </c>
      <c r="N131" s="1656" t="str">
        <f>IF(       0&lt;0.01,"***",IF(       0&lt;0.05,"**",IF(       0&lt;0.1,"*","NS")))</f>
        <v>***</v>
      </c>
      <c r="P131" s="296" t="s">
        <v>5308</v>
      </c>
      <c r="Q131" s="4">
        <v>57.953190576790071</v>
      </c>
      <c r="R131" s="4">
        <v>44.597656073092963</v>
      </c>
      <c r="S131" s="4">
        <v>-13.355534503697132</v>
      </c>
      <c r="T131" s="1657" t="str">
        <f>IF(       0.002&lt;0.01,"***",IF(       0.002&lt;0.05,"**",IF(       0.002&lt;0.1,"*","NS")))</f>
        <v>***</v>
      </c>
    </row>
    <row r="132" spans="1:20" x14ac:dyDescent="0.2">
      <c r="A132" s="296" t="s">
        <v>5835</v>
      </c>
      <c r="B132" s="4">
        <v>74.822230013270541</v>
      </c>
      <c r="C132" s="4">
        <v>64.487909095679839</v>
      </c>
      <c r="D132" s="4">
        <v>-10.334320917590805</v>
      </c>
      <c r="E132" s="1658" t="str">
        <f>IF(       0&lt;0.01,"***",IF(       0&lt;0.05,"**",IF(       0&lt;0.1,"*","NS")))</f>
        <v>***</v>
      </c>
      <c r="G132" s="296" t="s">
        <v>5835</v>
      </c>
      <c r="H132" s="4">
        <v>74.822230013270541</v>
      </c>
      <c r="I132" s="4">
        <v>67.979201693565713</v>
      </c>
      <c r="J132" s="4">
        <v>-6.843028319704902</v>
      </c>
      <c r="K132" s="1659" t="str">
        <f>IF(       0&lt;0.01,"***",IF(       0&lt;0.05,"**",IF(       0&lt;0.1,"*","NS")))</f>
        <v>***</v>
      </c>
      <c r="L132" s="4">
        <v>57.808067183436478</v>
      </c>
      <c r="M132" s="4">
        <v>-17.014162829833911</v>
      </c>
      <c r="N132" s="1660" t="str">
        <f>IF(       0&lt;0.01,"***",IF(       0&lt;0.05,"**",IF(       0&lt;0.1,"*","NS")))</f>
        <v>***</v>
      </c>
      <c r="P132" s="296" t="s">
        <v>5835</v>
      </c>
      <c r="Q132" s="4">
        <v>70.93597349711969</v>
      </c>
      <c r="R132" s="4">
        <v>57.808067183436478</v>
      </c>
      <c r="S132" s="4">
        <v>-13.127906313683239</v>
      </c>
      <c r="T132" s="1661" t="str">
        <f>IF(       0&lt;0.01,"***",IF(       0&lt;0.05,"**",IF(       0&lt;0.1,"*","NS")))</f>
        <v>***</v>
      </c>
    </row>
  </sheetData>
  <pageMargins left="0.7" right="0.7" top="0.75" bottom="0.75" header="0.3" footer="0.3"/>
  <tableParts count="21">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132"/>
  <sheetViews>
    <sheetView zoomScaleNormal="100" workbookViewId="0">
      <selection activeCell="D14" sqref="D14"/>
    </sheetView>
  </sheetViews>
  <sheetFormatPr baseColWidth="10" defaultColWidth="8.83203125" defaultRowHeight="15" x14ac:dyDescent="0.2"/>
  <cols>
    <col min="1" max="1" width="9.33203125" style="296" customWidth="1"/>
    <col min="2" max="5" width="15.83203125" style="4" customWidth="1"/>
    <col min="6" max="6" width="8.83203125" style="4"/>
    <col min="7" max="7" width="15.83203125" style="296" customWidth="1"/>
    <col min="8" max="14" width="15.83203125" style="4" customWidth="1"/>
    <col min="15" max="15" width="8.83203125" style="4"/>
    <col min="16" max="16" width="15.83203125" style="296" customWidth="1"/>
    <col min="17" max="20" width="15.83203125" style="4" customWidth="1"/>
    <col min="21" max="16384" width="8.83203125" style="4"/>
  </cols>
  <sheetData>
    <row r="1" spans="1:20" x14ac:dyDescent="0.2">
      <c r="A1" s="296" t="s">
        <v>3596</v>
      </c>
      <c r="G1" s="296" t="s">
        <v>3700</v>
      </c>
      <c r="P1" s="296" t="s">
        <v>3819</v>
      </c>
    </row>
    <row r="2" spans="1:20" s="3" customFormat="1" x14ac:dyDescent="0.2">
      <c r="A2" s="5244" t="s">
        <v>3597</v>
      </c>
      <c r="B2" s="5245" t="s">
        <v>3598</v>
      </c>
      <c r="C2" s="5246" t="s">
        <v>3599</v>
      </c>
      <c r="D2" s="5247" t="s">
        <v>3600</v>
      </c>
      <c r="E2" s="5248" t="s">
        <v>3601</v>
      </c>
      <c r="G2" s="5249" t="s">
        <v>3701</v>
      </c>
      <c r="H2" s="5250" t="s">
        <v>3702</v>
      </c>
      <c r="I2" s="5251" t="s">
        <v>3703</v>
      </c>
      <c r="J2" s="5252" t="s">
        <v>3704</v>
      </c>
      <c r="K2" s="5253" t="s">
        <v>3705</v>
      </c>
      <c r="L2" s="5254" t="s">
        <v>3804</v>
      </c>
      <c r="M2" s="5255" t="s">
        <v>3805</v>
      </c>
      <c r="N2" s="5256" t="s">
        <v>3806</v>
      </c>
      <c r="P2" s="5257" t="s">
        <v>3820</v>
      </c>
      <c r="Q2" s="5258" t="s">
        <v>3821</v>
      </c>
      <c r="R2" s="5259" t="s">
        <v>3822</v>
      </c>
      <c r="S2" s="5260" t="s">
        <v>3823</v>
      </c>
      <c r="T2" s="5261" t="s">
        <v>3824</v>
      </c>
    </row>
    <row r="3" spans="1:20" x14ac:dyDescent="0.2">
      <c r="A3" s="296" t="s">
        <v>3602</v>
      </c>
      <c r="B3" s="4">
        <v>88.540255315070027</v>
      </c>
      <c r="C3" s="4">
        <v>93.624763101662396</v>
      </c>
      <c r="D3" s="4">
        <v>5.0845077865923791</v>
      </c>
      <c r="E3" s="894" t="str">
        <f>IF(       0.003&lt;0.01,"***",IF(       0.003&lt;0.05,"**",IF(       0.003&lt;0.1,"*","NS")))</f>
        <v>***</v>
      </c>
      <c r="G3" s="296" t="s">
        <v>3706</v>
      </c>
      <c r="H3" s="4">
        <v>88.540255315070027</v>
      </c>
      <c r="I3" s="4">
        <v>93.154933823478331</v>
      </c>
      <c r="J3" s="4">
        <v>4.6146785084083062</v>
      </c>
      <c r="K3" s="895" t="str">
        <f>IF(       0.01&lt;0.01,"***",IF(       0.01&lt;0.05,"**",IF(       0.01&lt;0.1,"*","NS")))</f>
        <v>**</v>
      </c>
      <c r="L3" s="4">
        <v>95.457504908644168</v>
      </c>
      <c r="M3" s="4">
        <v>6.9172495935742369</v>
      </c>
      <c r="N3" s="896" t="str">
        <f>IF(       0.001&lt;0.01,"***",IF(       0.001&lt;0.05,"**",IF(       0.001&lt;0.1,"*","NS")))</f>
        <v>***</v>
      </c>
      <c r="P3" s="296" t="s">
        <v>3825</v>
      </c>
      <c r="Q3" s="4">
        <v>90.192504209557598</v>
      </c>
      <c r="R3" s="4">
        <v>95.457504908644168</v>
      </c>
      <c r="S3" s="4">
        <v>5.2650006990865812</v>
      </c>
      <c r="T3" s="897" t="str">
        <f>IF(       0.003&lt;0.01,"***",IF(       0.003&lt;0.05,"**",IF(       0.003&lt;0.1,"*","NS")))</f>
        <v>***</v>
      </c>
    </row>
    <row r="4" spans="1:20" x14ac:dyDescent="0.2">
      <c r="A4" s="296" t="s">
        <v>3603</v>
      </c>
      <c r="B4" s="4">
        <v>83.495633078185278</v>
      </c>
      <c r="C4" s="4">
        <v>93.191097158194879</v>
      </c>
      <c r="D4" s="4">
        <v>9.6954640800094438</v>
      </c>
      <c r="E4" s="898" t="str">
        <f>IF(       0&lt;0.01,"***",IF(       0&lt;0.05,"**",IF(       0&lt;0.1,"*","NS")))</f>
        <v>***</v>
      </c>
      <c r="G4" s="296" t="s">
        <v>3707</v>
      </c>
      <c r="H4" s="4">
        <v>83.495633078185278</v>
      </c>
      <c r="I4" s="4">
        <v>92.488191897804526</v>
      </c>
      <c r="J4" s="4">
        <v>8.9925588196192177</v>
      </c>
      <c r="K4" s="899" t="str">
        <f>IF(       0&lt;0.01,"***",IF(       0&lt;0.05,"**",IF(       0&lt;0.1,"*","NS")))</f>
        <v>***</v>
      </c>
      <c r="L4" s="4">
        <v>95.033637555521352</v>
      </c>
      <c r="M4" s="4">
        <v>11.538004477336125</v>
      </c>
      <c r="N4" s="900" t="str">
        <f>IF(       0&lt;0.01,"***",IF(       0&lt;0.05,"**",IF(       0&lt;0.1,"*","NS")))</f>
        <v>***</v>
      </c>
      <c r="P4" s="296" t="s">
        <v>3826</v>
      </c>
      <c r="Q4" s="4">
        <v>86.085065281405107</v>
      </c>
      <c r="R4" s="4">
        <v>95.033637555521352</v>
      </c>
      <c r="S4" s="4">
        <v>8.9485722741163372</v>
      </c>
      <c r="T4" s="901" t="str">
        <f>IF(       0&lt;0.01,"***",IF(       0&lt;0.05,"**",IF(       0&lt;0.1,"*","NS")))</f>
        <v>***</v>
      </c>
    </row>
    <row r="5" spans="1:20" x14ac:dyDescent="0.2">
      <c r="A5" s="296" t="s">
        <v>3604</v>
      </c>
      <c r="B5" s="4">
        <v>88.162517800964963</v>
      </c>
      <c r="C5" s="4">
        <v>93.698803181177823</v>
      </c>
      <c r="D5" s="4">
        <v>5.5362853802129175</v>
      </c>
      <c r="E5" s="902" t="str">
        <f>IF(       0.006&lt;0.01,"***",IF(       0.006&lt;0.05,"**",IF(       0.006&lt;0.1,"*","NS")))</f>
        <v>***</v>
      </c>
      <c r="G5" s="296" t="s">
        <v>3708</v>
      </c>
      <c r="H5" s="4">
        <v>88.162517800964963</v>
      </c>
      <c r="I5" s="4">
        <v>92.593285539623452</v>
      </c>
      <c r="J5" s="4">
        <v>4.430767738658556</v>
      </c>
      <c r="K5" s="903" t="str">
        <f>IF(       0.009&lt;0.01,"***",IF(       0.009&lt;0.05,"**",IF(       0.009&lt;0.1,"*","NS")))</f>
        <v>***</v>
      </c>
      <c r="L5" s="4">
        <v>97.030217604495434</v>
      </c>
      <c r="M5" s="4">
        <v>8.8676998035303249</v>
      </c>
      <c r="N5" s="904" t="str">
        <f>IF(       0.01&lt;0.01,"***",IF(       0.01&lt;0.05,"**",IF(       0.01&lt;0.1,"*","NS")))</f>
        <v>**</v>
      </c>
      <c r="P5" s="296" t="s">
        <v>3827</v>
      </c>
      <c r="Q5" s="4">
        <v>89.211672531362595</v>
      </c>
      <c r="R5" s="4">
        <v>97.030217604495434</v>
      </c>
      <c r="S5" s="4">
        <v>7.8185450731327686</v>
      </c>
      <c r="T5" s="905" t="str">
        <f>IF(       0.013&lt;0.01,"***",IF(       0.013&lt;0.05,"**",IF(       0.013&lt;0.1,"*","NS")))</f>
        <v>**</v>
      </c>
    </row>
    <row r="6" spans="1:20" x14ac:dyDescent="0.2">
      <c r="A6" s="296" t="s">
        <v>3605</v>
      </c>
      <c r="B6" s="4">
        <v>87.563336704034825</v>
      </c>
      <c r="C6" s="4">
        <v>90.471188935185282</v>
      </c>
      <c r="D6" s="4">
        <v>2.9078522311504371</v>
      </c>
      <c r="E6" s="906" t="str">
        <f>IF(       0.082&lt;0.01,"***",IF(       0.082&lt;0.05,"**",IF(       0.082&lt;0.1,"*","NS")))</f>
        <v>*</v>
      </c>
      <c r="G6" s="296" t="s">
        <v>3709</v>
      </c>
      <c r="H6" s="4">
        <v>87.563336704034825</v>
      </c>
      <c r="I6" s="4">
        <v>89.376776102118029</v>
      </c>
      <c r="J6" s="4">
        <v>1.8134393980831893</v>
      </c>
      <c r="K6" s="907" t="str">
        <f>IF(       0.355&lt;0.01,"***",IF(       0.355&lt;0.05,"**",IF(       0.355&lt;0.1,"*","NS")))</f>
        <v>NS</v>
      </c>
      <c r="L6" s="4">
        <v>94.613471880014004</v>
      </c>
      <c r="M6" s="4">
        <v>7.0501351759792623</v>
      </c>
      <c r="N6" s="908" t="str">
        <f>IF(       0&lt;0.01,"***",IF(       0&lt;0.05,"**",IF(       0&lt;0.1,"*","NS")))</f>
        <v>***</v>
      </c>
      <c r="P6" s="296" t="s">
        <v>3828</v>
      </c>
      <c r="Q6" s="4">
        <v>88.09434528923812</v>
      </c>
      <c r="R6" s="4">
        <v>94.613471880014004</v>
      </c>
      <c r="S6" s="4">
        <v>6.5191265907759997</v>
      </c>
      <c r="T6" s="909" t="str">
        <f>IF(       0.001&lt;0.01,"***",IF(       0.001&lt;0.05,"**",IF(       0.001&lt;0.1,"*","NS")))</f>
        <v>***</v>
      </c>
    </row>
    <row r="7" spans="1:20" x14ac:dyDescent="0.2">
      <c r="A7" s="296" t="s">
        <v>3606</v>
      </c>
      <c r="B7" s="4">
        <v>84.63837455324628</v>
      </c>
      <c r="C7" s="4">
        <v>90.062829393535722</v>
      </c>
      <c r="D7" s="4">
        <v>5.4244548402896262</v>
      </c>
      <c r="E7" s="910" t="str">
        <f>IF(       0.018&lt;0.01,"***",IF(       0.018&lt;0.05,"**",IF(       0.018&lt;0.1,"*","NS")))</f>
        <v>**</v>
      </c>
      <c r="G7" s="296" t="s">
        <v>3710</v>
      </c>
      <c r="H7" s="4">
        <v>84.63837455324628</v>
      </c>
      <c r="I7" s="4">
        <v>89.180971696475069</v>
      </c>
      <c r="J7" s="4">
        <v>4.5425971432287815</v>
      </c>
      <c r="K7" s="911" t="str">
        <f>IF(       0.056&lt;0.01,"***",IF(       0.056&lt;0.05,"**",IF(       0.056&lt;0.1,"*","NS")))</f>
        <v>*</v>
      </c>
      <c r="L7" s="4">
        <v>94.237772344930633</v>
      </c>
      <c r="M7" s="4">
        <v>9.5993977916843747</v>
      </c>
      <c r="N7" s="912" t="str">
        <f>IF(       0.001&lt;0.01,"***",IF(       0.001&lt;0.05,"**",IF(       0.001&lt;0.1,"*","NS")))</f>
        <v>***</v>
      </c>
      <c r="P7" s="296" t="s">
        <v>3829</v>
      </c>
      <c r="Q7" s="4">
        <v>85.838473761549423</v>
      </c>
      <c r="R7" s="4">
        <v>94.237772344930633</v>
      </c>
      <c r="S7" s="4">
        <v>8.3992985833813272</v>
      </c>
      <c r="T7" s="913" t="str">
        <f>IF(       0.001&lt;0.01,"***",IF(       0.001&lt;0.05,"**",IF(       0.001&lt;0.1,"*","NS")))</f>
        <v>***</v>
      </c>
    </row>
    <row r="8" spans="1:20" x14ac:dyDescent="0.2">
      <c r="A8" s="296" t="s">
        <v>3607</v>
      </c>
      <c r="B8" s="4">
        <v>69.72168802133713</v>
      </c>
      <c r="C8" s="4">
        <v>83.23319786884727</v>
      </c>
      <c r="D8" s="4">
        <v>13.511509847509954</v>
      </c>
      <c r="E8" s="914" t="str">
        <f>IF(       0&lt;0.01,"***",IF(       0&lt;0.05,"**",IF(       0&lt;0.1,"*","NS")))</f>
        <v>***</v>
      </c>
      <c r="G8" s="296" t="s">
        <v>3711</v>
      </c>
      <c r="H8" s="4">
        <v>69.72168802133713</v>
      </c>
      <c r="I8" s="4">
        <v>81.625040464905922</v>
      </c>
      <c r="J8" s="4">
        <v>11.903352443568933</v>
      </c>
      <c r="K8" s="915" t="str">
        <f>IF(       0&lt;0.01,"***",IF(       0&lt;0.05,"**",IF(       0&lt;0.1,"*","NS")))</f>
        <v>***</v>
      </c>
      <c r="L8" s="4">
        <v>88.283938638364674</v>
      </c>
      <c r="M8" s="4">
        <v>18.562250617027757</v>
      </c>
      <c r="N8" s="916" t="str">
        <f>IF(       0&lt;0.01,"***",IF(       0&lt;0.05,"**",IF(       0&lt;0.1,"*","NS")))</f>
        <v>***</v>
      </c>
      <c r="P8" s="296" t="s">
        <v>3830</v>
      </c>
      <c r="Q8" s="4">
        <v>73.055312592444082</v>
      </c>
      <c r="R8" s="4">
        <v>88.283938638364674</v>
      </c>
      <c r="S8" s="4">
        <v>15.228626045920745</v>
      </c>
      <c r="T8" s="917" t="str">
        <f>IF(       0&lt;0.01,"***",IF(       0&lt;0.05,"**",IF(       0&lt;0.1,"*","NS")))</f>
        <v>***</v>
      </c>
    </row>
    <row r="9" spans="1:20" x14ac:dyDescent="0.2">
      <c r="A9" s="296" t="s">
        <v>3608</v>
      </c>
      <c r="B9" s="4">
        <v>23.889500431081789</v>
      </c>
      <c r="C9" s="4">
        <v>37.800651645362251</v>
      </c>
      <c r="D9" s="4">
        <v>13.911151214280213</v>
      </c>
      <c r="E9" s="918" t="str">
        <f>IF(       0&lt;0.01,"***",IF(       0&lt;0.05,"**",IF(       0&lt;0.1,"*","NS")))</f>
        <v>***</v>
      </c>
      <c r="G9" s="296" t="s">
        <v>3712</v>
      </c>
      <c r="H9" s="4">
        <v>23.889500431081789</v>
      </c>
      <c r="I9" s="4">
        <v>36.481745178216663</v>
      </c>
      <c r="J9" s="4">
        <v>12.592244747134941</v>
      </c>
      <c r="K9" s="919" t="str">
        <f>IF(       0&lt;0.01,"***",IF(       0&lt;0.05,"**",IF(       0&lt;0.1,"*","NS")))</f>
        <v>***</v>
      </c>
      <c r="L9" s="4">
        <v>43.910135101803483</v>
      </c>
      <c r="M9" s="4">
        <v>20.020634670722011</v>
      </c>
      <c r="N9" s="920" t="str">
        <f>IF(       0.001&lt;0.01,"***",IF(       0.001&lt;0.05,"**",IF(       0.001&lt;0.1,"*","NS")))</f>
        <v>***</v>
      </c>
      <c r="P9" s="296" t="s">
        <v>3831</v>
      </c>
      <c r="Q9" s="4">
        <v>25.756593778025941</v>
      </c>
      <c r="R9" s="4">
        <v>43.910135101803483</v>
      </c>
      <c r="S9" s="4">
        <v>18.153541323778057</v>
      </c>
      <c r="T9" s="921" t="str">
        <f>IF(       0.003&lt;0.01,"***",IF(       0.003&lt;0.05,"**",IF(       0.003&lt;0.1,"*","NS")))</f>
        <v>***</v>
      </c>
    </row>
    <row r="10" spans="1:20" x14ac:dyDescent="0.2">
      <c r="A10" s="296" t="s">
        <v>3609</v>
      </c>
      <c r="B10" s="4">
        <v>98.879244087836696</v>
      </c>
      <c r="C10" s="4">
        <v>98.755758520077606</v>
      </c>
      <c r="D10" s="4">
        <v>-0.12348556775909694</v>
      </c>
      <c r="E10" s="922" t="str">
        <f>IF(       0.827&lt;0.01,"***",IF(       0.827&lt;0.05,"**",IF(       0.827&lt;0.1,"*","NS")))</f>
        <v>NS</v>
      </c>
      <c r="G10" s="296" t="s">
        <v>3713</v>
      </c>
      <c r="H10" s="4">
        <v>98.879244087836696</v>
      </c>
      <c r="I10" s="4">
        <v>98.375505730074337</v>
      </c>
      <c r="J10" s="4">
        <v>-0.50373835776238185</v>
      </c>
      <c r="K10" s="923" t="str">
        <f>IF(       0.459&lt;0.01,"***",IF(       0.459&lt;0.05,"**",IF(       0.459&lt;0.1,"*","NS")))</f>
        <v>NS</v>
      </c>
      <c r="L10" s="4">
        <v>100</v>
      </c>
      <c r="M10" s="4">
        <v>1.1207559121633053</v>
      </c>
      <c r="N10" s="924" t="str">
        <f>IF(       0.074&lt;0.01,"***",IF(       0.074&lt;0.05,"**",IF(       0.074&lt;0.1,"*","NS")))</f>
        <v>*</v>
      </c>
      <c r="P10" s="296" t="s">
        <v>3832</v>
      </c>
      <c r="Q10" s="4">
        <v>98.785993070917229</v>
      </c>
      <c r="R10" s="4">
        <v>100</v>
      </c>
      <c r="S10" s="4">
        <v>1.2140069290827775</v>
      </c>
      <c r="T10" s="925" t="str">
        <f>IF(       0.048&lt;0.01,"***",IF(       0.048&lt;0.05,"**",IF(       0.048&lt;0.1,"*","NS")))</f>
        <v>**</v>
      </c>
    </row>
    <row r="11" spans="1:20" x14ac:dyDescent="0.2">
      <c r="A11" s="296" t="s">
        <v>3610</v>
      </c>
      <c r="B11" s="4">
        <v>81.372921498803052</v>
      </c>
      <c r="C11" s="4">
        <v>93.372946578930538</v>
      </c>
      <c r="D11" s="4">
        <v>12.000025080127552</v>
      </c>
      <c r="E11" s="926" t="str">
        <f>IF(       0&lt;0.01,"***",IF(       0&lt;0.05,"**",IF(       0&lt;0.1,"*","NS")))</f>
        <v>***</v>
      </c>
      <c r="G11" s="296" t="s">
        <v>3714</v>
      </c>
      <c r="H11" s="4">
        <v>81.372921498803052</v>
      </c>
      <c r="I11" s="4">
        <v>91.916338015180457</v>
      </c>
      <c r="J11" s="4">
        <v>10.543416516377464</v>
      </c>
      <c r="K11" s="927" t="str">
        <f>IF(       0&lt;0.01,"***",IF(       0&lt;0.05,"**",IF(       0&lt;0.1,"*","NS")))</f>
        <v>***</v>
      </c>
      <c r="L11" s="4">
        <v>95.698745017088228</v>
      </c>
      <c r="M11" s="4">
        <v>14.325823518285114</v>
      </c>
      <c r="N11" s="928" t="str">
        <f>IF(       0&lt;0.01,"***",IF(       0&lt;0.05,"**",IF(       0&lt;0.1,"*","NS")))</f>
        <v>***</v>
      </c>
      <c r="P11" s="296" t="s">
        <v>3833</v>
      </c>
      <c r="Q11" s="4">
        <v>84.955729649907141</v>
      </c>
      <c r="R11" s="4">
        <v>95.698745017088228</v>
      </c>
      <c r="S11" s="4">
        <v>10.743015367181147</v>
      </c>
      <c r="T11" s="929" t="str">
        <f>IF(       0&lt;0.01,"***",IF(       0&lt;0.05,"**",IF(       0&lt;0.1,"*","NS")))</f>
        <v>***</v>
      </c>
    </row>
    <row r="12" spans="1:20" x14ac:dyDescent="0.2">
      <c r="A12" s="296" t="s">
        <v>3611</v>
      </c>
      <c r="B12" s="4">
        <v>93.881336285684057</v>
      </c>
      <c r="C12" s="4">
        <v>95.766996766782896</v>
      </c>
      <c r="D12" s="4">
        <v>1.8856604810988298</v>
      </c>
      <c r="E12" s="930" t="str">
        <f>IF(       0.008&lt;0.01,"***",IF(       0.008&lt;0.05,"**",IF(       0.008&lt;0.1,"*","NS")))</f>
        <v>***</v>
      </c>
      <c r="G12" s="296" t="s">
        <v>3715</v>
      </c>
      <c r="H12" s="4">
        <v>93.881336285684057</v>
      </c>
      <c r="I12" s="4">
        <v>95.239620652511107</v>
      </c>
      <c r="J12" s="4">
        <v>1.3582843668270357</v>
      </c>
      <c r="K12" s="931" t="str">
        <f>IF(       0.07&lt;0.01,"***",IF(       0.07&lt;0.05,"**",IF(       0.07&lt;0.1,"*","NS")))</f>
        <v>*</v>
      </c>
      <c r="L12" s="4">
        <v>97.480984465151408</v>
      </c>
      <c r="M12" s="4">
        <v>3.5996481794673283</v>
      </c>
      <c r="N12" s="932" t="str">
        <f>IF(       0.001&lt;0.01,"***",IF(       0.001&lt;0.05,"**",IF(       0.001&lt;0.1,"*","NS")))</f>
        <v>***</v>
      </c>
      <c r="P12" s="296" t="s">
        <v>3834</v>
      </c>
      <c r="Q12" s="4">
        <v>94.405560903957507</v>
      </c>
      <c r="R12" s="4">
        <v>97.480984465151408</v>
      </c>
      <c r="S12" s="4">
        <v>3.0754235611939413</v>
      </c>
      <c r="T12" s="933" t="str">
        <f>IF(       0.001&lt;0.01,"***",IF(       0.001&lt;0.05,"**",IF(       0.001&lt;0.1,"*","NS")))</f>
        <v>***</v>
      </c>
    </row>
    <row r="13" spans="1:20" x14ac:dyDescent="0.2">
      <c r="A13" s="296" t="s">
        <v>3612</v>
      </c>
      <c r="B13" s="4">
        <v>68.047575578158913</v>
      </c>
      <c r="C13" s="4">
        <v>81.496857629114956</v>
      </c>
      <c r="D13" s="4">
        <v>13.449282050955958</v>
      </c>
      <c r="E13" s="934" t="str">
        <f>IF(       0&lt;0.01,"***",IF(       0&lt;0.05,"**",IF(       0&lt;0.1,"*","NS")))</f>
        <v>***</v>
      </c>
      <c r="G13" s="296" t="s">
        <v>3716</v>
      </c>
      <c r="H13" s="4">
        <v>68.047575578158913</v>
      </c>
      <c r="I13" s="4">
        <v>81.423605723897907</v>
      </c>
      <c r="J13" s="4">
        <v>13.376030145738921</v>
      </c>
      <c r="K13" s="935" t="str">
        <f>IF(       0&lt;0.01,"***",IF(       0&lt;0.05,"**",IF(       0&lt;0.1,"*","NS")))</f>
        <v>***</v>
      </c>
      <c r="L13" s="4">
        <v>81.694842155820197</v>
      </c>
      <c r="M13" s="4">
        <v>13.647266577661377</v>
      </c>
      <c r="N13" s="936" t="str">
        <f>IF(       0.001&lt;0.01,"***",IF(       0.001&lt;0.05,"**",IF(       0.001&lt;0.1,"*","NS")))</f>
        <v>***</v>
      </c>
      <c r="P13" s="296" t="s">
        <v>3835</v>
      </c>
      <c r="Q13" s="4">
        <v>71.248159602664856</v>
      </c>
      <c r="R13" s="4">
        <v>81.694842155820197</v>
      </c>
      <c r="S13" s="4">
        <v>10.446682553155396</v>
      </c>
      <c r="T13" s="937" t="str">
        <f>IF(       0.005&lt;0.01,"***",IF(       0.005&lt;0.05,"**",IF(       0.005&lt;0.1,"*","NS")))</f>
        <v>***</v>
      </c>
    </row>
    <row r="14" spans="1:20" x14ac:dyDescent="0.2">
      <c r="A14" s="296" t="s">
        <v>3613</v>
      </c>
      <c r="B14" s="4">
        <v>46.647841540044809</v>
      </c>
      <c r="C14" s="4">
        <v>71.33699850603314</v>
      </c>
      <c r="D14" s="4">
        <v>24.689156965988957</v>
      </c>
      <c r="E14" s="938" t="str">
        <f>IF(       0&lt;0.01,"***",IF(       0&lt;0.05,"**",IF(       0&lt;0.1,"*","NS")))</f>
        <v>***</v>
      </c>
      <c r="G14" s="296" t="s">
        <v>3717</v>
      </c>
      <c r="H14" s="4">
        <v>46.647841540044809</v>
      </c>
      <c r="I14" s="4">
        <v>67.096509988383787</v>
      </c>
      <c r="J14" s="4">
        <v>20.448668448338942</v>
      </c>
      <c r="K14" s="939" t="str">
        <f>IF(       0&lt;0.01,"***",IF(       0&lt;0.05,"**",IF(       0&lt;0.1,"*","NS")))</f>
        <v>***</v>
      </c>
      <c r="L14" s="4">
        <v>83.829744308172664</v>
      </c>
      <c r="M14" s="4">
        <v>37.181902768127983</v>
      </c>
      <c r="N14" s="940" t="str">
        <f>IF(       0&lt;0.01,"***",IF(       0&lt;0.05,"**",IF(       0&lt;0.1,"*","NS")))</f>
        <v>***</v>
      </c>
      <c r="P14" s="296" t="s">
        <v>3836</v>
      </c>
      <c r="Q14" s="4">
        <v>51.085436850024699</v>
      </c>
      <c r="R14" s="4">
        <v>83.829744308172664</v>
      </c>
      <c r="S14" s="4">
        <v>32.744307458149073</v>
      </c>
      <c r="T14" s="941" t="str">
        <f>IF(       0&lt;0.01,"***",IF(       0&lt;0.05,"**",IF(       0&lt;0.1,"*","NS")))</f>
        <v>***</v>
      </c>
    </row>
    <row r="15" spans="1:20" x14ac:dyDescent="0.2">
      <c r="A15" s="296" t="s">
        <v>3614</v>
      </c>
      <c r="B15" s="4">
        <v>84.888271395514721</v>
      </c>
      <c r="C15" s="4">
        <v>89.181783996979064</v>
      </c>
      <c r="D15" s="4">
        <v>4.2935126014642817</v>
      </c>
      <c r="E15" s="942" t="str">
        <f>IF(       0.03&lt;0.01,"***",IF(       0.03&lt;0.05,"**",IF(       0.03&lt;0.1,"*","NS")))</f>
        <v>**</v>
      </c>
      <c r="G15" s="296" t="s">
        <v>3718</v>
      </c>
      <c r="H15" s="4">
        <v>84.888271395514721</v>
      </c>
      <c r="I15" s="4">
        <v>89.425901204193323</v>
      </c>
      <c r="J15" s="4">
        <v>4.5376298086786377</v>
      </c>
      <c r="K15" s="943" t="str">
        <f>IF(       0.008&lt;0.01,"***",IF(       0.008&lt;0.05,"**",IF(       0.008&lt;0.1,"*","NS")))</f>
        <v>***</v>
      </c>
      <c r="L15" s="4">
        <v>88.433444598721337</v>
      </c>
      <c r="M15" s="4">
        <v>3.5451732032066507</v>
      </c>
      <c r="N15" s="944" t="str">
        <f>IF(       0.394&lt;0.01,"***",IF(       0.394&lt;0.05,"**",IF(       0.394&lt;0.1,"*","NS")))</f>
        <v>NS</v>
      </c>
      <c r="P15" s="296" t="s">
        <v>3837</v>
      </c>
      <c r="Q15" s="4">
        <v>85.909187564378485</v>
      </c>
      <c r="R15" s="4">
        <v>88.433444598721337</v>
      </c>
      <c r="S15" s="4">
        <v>2.5242570343428388</v>
      </c>
      <c r="T15" s="945" t="str">
        <f>IF(       0.529&lt;0.01,"***",IF(       0.529&lt;0.05,"**",IF(       0.529&lt;0.1,"*","NS")))</f>
        <v>NS</v>
      </c>
    </row>
    <row r="16" spans="1:20" x14ac:dyDescent="0.2">
      <c r="A16" s="296" t="s">
        <v>3615</v>
      </c>
      <c r="B16" s="4">
        <v>85.026685905816663</v>
      </c>
      <c r="C16" s="4">
        <v>92.042392706142394</v>
      </c>
      <c r="D16" s="4">
        <v>7.0157068003256553</v>
      </c>
      <c r="E16" s="946" t="str">
        <f>IF(       0&lt;0.01,"***",IF(       0&lt;0.05,"**",IF(       0&lt;0.1,"*","NS")))</f>
        <v>***</v>
      </c>
      <c r="G16" s="296" t="s">
        <v>3719</v>
      </c>
      <c r="H16" s="4">
        <v>85.026685905816663</v>
      </c>
      <c r="I16" s="4">
        <v>90.628911992210988</v>
      </c>
      <c r="J16" s="4">
        <v>5.6022260863944293</v>
      </c>
      <c r="K16" s="947" t="str">
        <f>IF(       0.007&lt;0.01,"***",IF(       0.007&lt;0.05,"**",IF(       0.007&lt;0.1,"*","NS")))</f>
        <v>***</v>
      </c>
      <c r="L16" s="4">
        <v>95.17125156513768</v>
      </c>
      <c r="M16" s="4">
        <v>10.144565659321039</v>
      </c>
      <c r="N16" s="948" t="str">
        <f>IF(       0&lt;0.01,"***",IF(       0&lt;0.05,"**",IF(       0&lt;0.1,"*","NS")))</f>
        <v>***</v>
      </c>
      <c r="P16" s="296" t="s">
        <v>3838</v>
      </c>
      <c r="Q16" s="4">
        <v>86.87500689788493</v>
      </c>
      <c r="R16" s="4">
        <v>95.17125156513768</v>
      </c>
      <c r="S16" s="4">
        <v>8.2962446672526564</v>
      </c>
      <c r="T16" s="949" t="str">
        <f>IF(       0&lt;0.01,"***",IF(       0&lt;0.05,"**",IF(       0&lt;0.1,"*","NS")))</f>
        <v>***</v>
      </c>
    </row>
    <row r="17" spans="1:20" x14ac:dyDescent="0.2">
      <c r="A17" s="296" t="s">
        <v>3616</v>
      </c>
      <c r="B17" s="4">
        <v>94.710288343642986</v>
      </c>
      <c r="C17" s="4">
        <v>96.779461780759078</v>
      </c>
      <c r="D17" s="4">
        <v>2.0691734371160955</v>
      </c>
      <c r="E17" s="950" t="str">
        <f>IF(       0.059&lt;0.01,"***",IF(       0.059&lt;0.05,"**",IF(       0.059&lt;0.1,"*","NS")))</f>
        <v>*</v>
      </c>
      <c r="G17" s="296" t="s">
        <v>3720</v>
      </c>
      <c r="H17" s="4">
        <v>94.710288343642986</v>
      </c>
      <c r="I17" s="4">
        <v>96.642456770818882</v>
      </c>
      <c r="J17" s="4">
        <v>1.9321684271759183</v>
      </c>
      <c r="K17" s="951" t="str">
        <f>IF(       0.072&lt;0.01,"***",IF(       0.072&lt;0.05,"**",IF(       0.072&lt;0.1,"*","NS")))</f>
        <v>*</v>
      </c>
      <c r="L17" s="4">
        <v>97.212985376005179</v>
      </c>
      <c r="M17" s="4">
        <v>2.5026970323621422</v>
      </c>
      <c r="N17" s="952" t="str">
        <f>IF(       0.085&lt;0.01,"***",IF(       0.085&lt;0.05,"**",IF(       0.085&lt;0.1,"*","NS")))</f>
        <v>*</v>
      </c>
      <c r="P17" s="296" t="s">
        <v>3839</v>
      </c>
      <c r="Q17" s="4">
        <v>95.212538593898472</v>
      </c>
      <c r="R17" s="4">
        <v>97.212985376005179</v>
      </c>
      <c r="S17" s="4">
        <v>2.0004467821066934</v>
      </c>
      <c r="T17" s="953" t="str">
        <f>IF(       0.119&lt;0.01,"***",IF(       0.119&lt;0.05,"**",IF(       0.119&lt;0.1,"*","NS")))</f>
        <v>NS</v>
      </c>
    </row>
    <row r="18" spans="1:20" x14ac:dyDescent="0.2">
      <c r="A18" s="296" t="s">
        <v>5835</v>
      </c>
      <c r="B18" s="4">
        <v>74.224203730439029</v>
      </c>
      <c r="C18" s="4">
        <v>87.2066822196457</v>
      </c>
      <c r="D18" s="4">
        <v>12.982478489206448</v>
      </c>
      <c r="E18" s="954" t="str">
        <f>IF(       0&lt;0.01,"***",IF(       0&lt;0.05,"**",IF(       0&lt;0.1,"*","NS")))</f>
        <v>***</v>
      </c>
      <c r="G18" s="296" t="s">
        <v>5835</v>
      </c>
      <c r="H18" s="4">
        <v>74.224203730439029</v>
      </c>
      <c r="I18" s="4">
        <v>85.89984443648062</v>
      </c>
      <c r="J18" s="4">
        <v>11.675640706041795</v>
      </c>
      <c r="K18" s="955" t="str">
        <f>IF(       0&lt;0.01,"***",IF(       0&lt;0.05,"**",IF(       0&lt;0.1,"*","NS")))</f>
        <v>***</v>
      </c>
      <c r="L18" s="4">
        <v>91.0471516039281</v>
      </c>
      <c r="M18" s="4">
        <v>16.822947873487923</v>
      </c>
      <c r="N18" s="956" t="str">
        <f>IF(       0&lt;0.01,"***",IF(       0&lt;0.05,"**",IF(       0&lt;0.1,"*","NS")))</f>
        <v>***</v>
      </c>
      <c r="P18" s="296" t="s">
        <v>5835</v>
      </c>
      <c r="Q18" s="4">
        <v>77.342963946138497</v>
      </c>
      <c r="R18" s="4">
        <v>91.0471516039281</v>
      </c>
      <c r="S18" s="4">
        <v>13.704187657788752</v>
      </c>
      <c r="T18" s="957" t="str">
        <f>IF(       0&lt;0.01,"***",IF(       0&lt;0.05,"**",IF(       0&lt;0.1,"*","NS")))</f>
        <v>***</v>
      </c>
    </row>
    <row r="20" spans="1:20" x14ac:dyDescent="0.2">
      <c r="A20" s="296" t="s">
        <v>3617</v>
      </c>
      <c r="G20" s="296" t="s">
        <v>3721</v>
      </c>
      <c r="P20" s="296" t="s">
        <v>3840</v>
      </c>
    </row>
    <row r="21" spans="1:20" s="3" customFormat="1" x14ac:dyDescent="0.2">
      <c r="A21" s="5262" t="s">
        <v>3618</v>
      </c>
      <c r="B21" s="5263" t="s">
        <v>3619</v>
      </c>
      <c r="C21" s="5264" t="s">
        <v>3620</v>
      </c>
      <c r="D21" s="5265" t="s">
        <v>3621</v>
      </c>
      <c r="E21" s="5266" t="s">
        <v>3622</v>
      </c>
      <c r="G21" s="5267" t="s">
        <v>3722</v>
      </c>
      <c r="H21" s="5268" t="s">
        <v>3723</v>
      </c>
      <c r="I21" s="5269" t="s">
        <v>3724</v>
      </c>
      <c r="J21" s="5270" t="s">
        <v>3725</v>
      </c>
      <c r="K21" s="5271" t="s">
        <v>3726</v>
      </c>
      <c r="L21" s="5272" t="s">
        <v>3807</v>
      </c>
      <c r="M21" s="5273" t="s">
        <v>3808</v>
      </c>
      <c r="N21" s="5274" t="s">
        <v>3809</v>
      </c>
      <c r="P21" s="5275" t="s">
        <v>3841</v>
      </c>
      <c r="Q21" s="5276" t="s">
        <v>3842</v>
      </c>
      <c r="R21" s="5277" t="s">
        <v>3843</v>
      </c>
      <c r="S21" s="5278" t="s">
        <v>3844</v>
      </c>
      <c r="T21" s="5279" t="s">
        <v>3845</v>
      </c>
    </row>
    <row r="22" spans="1:20" x14ac:dyDescent="0.2">
      <c r="A22" s="296" t="s">
        <v>3623</v>
      </c>
      <c r="B22" s="4">
        <v>90.65709939826985</v>
      </c>
      <c r="C22" s="4">
        <v>96.230271038028079</v>
      </c>
      <c r="D22" s="4">
        <v>5.5731716397582112</v>
      </c>
      <c r="E22" s="958" t="str">
        <f>IF(       0.003&lt;0.01,"***",IF(       0.003&lt;0.05,"**",IF(       0.003&lt;0.1,"*","NS")))</f>
        <v>***</v>
      </c>
      <c r="G22" s="296" t="s">
        <v>3727</v>
      </c>
      <c r="H22" s="4">
        <v>90.65709939826985</v>
      </c>
      <c r="I22" s="4">
        <v>95.944097195074633</v>
      </c>
      <c r="J22" s="4">
        <v>5.2869977968047568</v>
      </c>
      <c r="K22" s="959" t="str">
        <f>IF(       0.005&lt;0.01,"***",IF(       0.005&lt;0.05,"**",IF(       0.005&lt;0.1,"*","NS")))</f>
        <v>***</v>
      </c>
      <c r="L22" s="4">
        <v>97.214957830227419</v>
      </c>
      <c r="M22" s="4">
        <v>6.5578584319575901</v>
      </c>
      <c r="N22" s="960" t="str">
        <f>IF(       0.001&lt;0.01,"***",IF(       0.001&lt;0.05,"**",IF(       0.001&lt;0.1,"*","NS")))</f>
        <v>***</v>
      </c>
      <c r="P22" s="296" t="s">
        <v>3846</v>
      </c>
      <c r="Q22" s="4">
        <v>92.643984003388411</v>
      </c>
      <c r="R22" s="4">
        <v>97.214957830227419</v>
      </c>
      <c r="S22" s="4">
        <v>4.5709738268390039</v>
      </c>
      <c r="T22" s="961" t="str">
        <f>IF(       0.001&lt;0.01,"***",IF(       0.001&lt;0.05,"**",IF(       0.001&lt;0.1,"*","NS")))</f>
        <v>***</v>
      </c>
    </row>
    <row r="23" spans="1:20" x14ac:dyDescent="0.2">
      <c r="A23" s="296" t="s">
        <v>3624</v>
      </c>
      <c r="B23" s="4">
        <v>84.315362186642247</v>
      </c>
      <c r="C23" s="4">
        <v>93.660622641395193</v>
      </c>
      <c r="D23" s="4">
        <v>9.3452604547529603</v>
      </c>
      <c r="E23" s="962" t="str">
        <f>IF(       0.005&lt;0.01,"***",IF(       0.005&lt;0.05,"**",IF(       0.005&lt;0.1,"*","NS")))</f>
        <v>***</v>
      </c>
      <c r="G23" s="296" t="s">
        <v>3728</v>
      </c>
      <c r="H23" s="4">
        <v>84.315362186642247</v>
      </c>
      <c r="I23" s="4">
        <v>92.951215194396838</v>
      </c>
      <c r="J23" s="4">
        <v>8.6358530077545801</v>
      </c>
      <c r="K23" s="963" t="str">
        <f>IF(       0.013&lt;0.01,"***",IF(       0.013&lt;0.05,"**",IF(       0.013&lt;0.1,"*","NS")))</f>
        <v>**</v>
      </c>
      <c r="L23" s="4">
        <v>95.486999372651084</v>
      </c>
      <c r="M23" s="4">
        <v>11.171637186008775</v>
      </c>
      <c r="N23" s="964" t="str">
        <f>IF(       0.001&lt;0.01,"***",IF(       0.001&lt;0.05,"**",IF(       0.001&lt;0.1,"*","NS")))</f>
        <v>***</v>
      </c>
      <c r="P23" s="296" t="s">
        <v>3847</v>
      </c>
      <c r="Q23" s="4">
        <v>87.182987583868737</v>
      </c>
      <c r="R23" s="4">
        <v>95.486999372651084</v>
      </c>
      <c r="S23" s="4">
        <v>8.3040117887823826</v>
      </c>
      <c r="T23" s="965" t="str">
        <f>IF(       0.002&lt;0.01,"***",IF(       0.002&lt;0.05,"**",IF(       0.002&lt;0.1,"*","NS")))</f>
        <v>***</v>
      </c>
    </row>
    <row r="24" spans="1:20" x14ac:dyDescent="0.2">
      <c r="A24" s="296" t="s">
        <v>3625</v>
      </c>
      <c r="B24" s="4">
        <v>89.365202077415702</v>
      </c>
      <c r="C24" s="4">
        <v>94.035860143095135</v>
      </c>
      <c r="D24" s="4">
        <v>4.6706580656794969</v>
      </c>
      <c r="E24" s="966" t="str">
        <f>IF(       0.023&lt;0.01,"***",IF(       0.023&lt;0.05,"**",IF(       0.023&lt;0.1,"*","NS")))</f>
        <v>**</v>
      </c>
      <c r="G24" s="296" t="s">
        <v>3729</v>
      </c>
      <c r="H24" s="4">
        <v>89.365202077415702</v>
      </c>
      <c r="I24" s="4">
        <v>93.051916124957373</v>
      </c>
      <c r="J24" s="4">
        <v>3.686714047541678</v>
      </c>
      <c r="K24" s="967" t="str">
        <f>IF(       0.055&lt;0.01,"***",IF(       0.055&lt;0.05,"**",IF(       0.055&lt;0.1,"*","NS")))</f>
        <v>*</v>
      </c>
      <c r="L24" s="4">
        <v>96.666025919299969</v>
      </c>
      <c r="M24" s="4">
        <v>7.300823841884335</v>
      </c>
      <c r="N24" s="968" t="str">
        <f>IF(       0.033&lt;0.01,"***",IF(       0.033&lt;0.05,"**",IF(       0.033&lt;0.1,"*","NS")))</f>
        <v>**</v>
      </c>
      <c r="P24" s="296" t="s">
        <v>3848</v>
      </c>
      <c r="Q24" s="4">
        <v>90.236564783098856</v>
      </c>
      <c r="R24" s="4">
        <v>96.666025919299969</v>
      </c>
      <c r="S24" s="4">
        <v>6.429461136201124</v>
      </c>
      <c r="T24" s="969" t="str">
        <f>IF(       0.045&lt;0.01,"***",IF(       0.045&lt;0.05,"**",IF(       0.045&lt;0.1,"*","NS")))</f>
        <v>**</v>
      </c>
    </row>
    <row r="25" spans="1:20" x14ac:dyDescent="0.2">
      <c r="A25" s="296" t="s">
        <v>3626</v>
      </c>
      <c r="B25" s="4">
        <v>89.78077553757133</v>
      </c>
      <c r="C25" s="4">
        <v>91.552520807308781</v>
      </c>
      <c r="D25" s="4">
        <v>1.7717452697374514</v>
      </c>
      <c r="E25" s="970" t="str">
        <f>IF(       0.363&lt;0.01,"***",IF(       0.363&lt;0.05,"**",IF(       0.363&lt;0.1,"*","NS")))</f>
        <v>NS</v>
      </c>
      <c r="G25" s="296" t="s">
        <v>3730</v>
      </c>
      <c r="H25" s="4">
        <v>89.78077553757133</v>
      </c>
      <c r="I25" s="4">
        <v>90.13628794903866</v>
      </c>
      <c r="J25" s="4">
        <v>0.35551241146732826</v>
      </c>
      <c r="K25" s="971" t="str">
        <f>IF(       0.873&lt;0.01,"***",IF(       0.873&lt;0.05,"**",IF(       0.873&lt;0.1,"*","NS")))</f>
        <v>NS</v>
      </c>
      <c r="L25" s="4">
        <v>96.532610294082218</v>
      </c>
      <c r="M25" s="4">
        <v>6.7518347565108989</v>
      </c>
      <c r="N25" s="972" t="str">
        <f>IF(       0.001&lt;0.01,"***",IF(       0.001&lt;0.05,"**",IF(       0.001&lt;0.1,"*","NS")))</f>
        <v>***</v>
      </c>
      <c r="P25" s="296" t="s">
        <v>3849</v>
      </c>
      <c r="Q25" s="4">
        <v>89.889101807537045</v>
      </c>
      <c r="R25" s="4">
        <v>96.532610294082218</v>
      </c>
      <c r="S25" s="4">
        <v>6.6435084865452279</v>
      </c>
      <c r="T25" s="973" t="str">
        <f>IF(       0.001&lt;0.01,"***",IF(       0.001&lt;0.05,"**",IF(       0.001&lt;0.1,"*","NS")))</f>
        <v>***</v>
      </c>
    </row>
    <row r="26" spans="1:20" x14ac:dyDescent="0.2">
      <c r="A26" s="296" t="s">
        <v>3627</v>
      </c>
      <c r="B26" s="4">
        <v>85.331173011011856</v>
      </c>
      <c r="C26" s="4">
        <v>91.048632363291262</v>
      </c>
      <c r="D26" s="4">
        <v>5.7174593522794073</v>
      </c>
      <c r="E26" s="974" t="str">
        <f>IF(       0.011&lt;0.01,"***",IF(       0.011&lt;0.05,"**",IF(       0.011&lt;0.1,"*","NS")))</f>
        <v>**</v>
      </c>
      <c r="G26" s="296" t="s">
        <v>3731</v>
      </c>
      <c r="H26" s="4">
        <v>85.331173011011856</v>
      </c>
      <c r="I26" s="4">
        <v>89.990155479554105</v>
      </c>
      <c r="J26" s="4">
        <v>4.6589824685422858</v>
      </c>
      <c r="K26" s="975" t="str">
        <f>IF(       0.047&lt;0.01,"***",IF(       0.047&lt;0.05,"**",IF(       0.047&lt;0.1,"*","NS")))</f>
        <v>**</v>
      </c>
      <c r="L26" s="4">
        <v>95.730847935905643</v>
      </c>
      <c r="M26" s="4">
        <v>10.399674924893803</v>
      </c>
      <c r="N26" s="976" t="str">
        <f>IF(       0.001&lt;0.01,"***",IF(       0.001&lt;0.05,"**",IF(       0.001&lt;0.1,"*","NS")))</f>
        <v>***</v>
      </c>
      <c r="P26" s="296" t="s">
        <v>3850</v>
      </c>
      <c r="Q26" s="4">
        <v>86.577518396555362</v>
      </c>
      <c r="R26" s="4">
        <v>95.730847935905643</v>
      </c>
      <c r="S26" s="4">
        <v>9.1533295393501994</v>
      </c>
      <c r="T26" s="977" t="str">
        <f>IF(       0.002&lt;0.01,"***",IF(       0.002&lt;0.05,"**",IF(       0.002&lt;0.1,"*","NS")))</f>
        <v>***</v>
      </c>
    </row>
    <row r="27" spans="1:20" x14ac:dyDescent="0.2">
      <c r="A27" s="296" t="s">
        <v>3628</v>
      </c>
      <c r="B27" s="4">
        <v>71.433417046434997</v>
      </c>
      <c r="C27" s="4">
        <v>86.751365260431925</v>
      </c>
      <c r="D27" s="4">
        <v>15.317948213996871</v>
      </c>
      <c r="E27" s="978" t="str">
        <f>IF(       0&lt;0.01,"***",IF(       0&lt;0.05,"**",IF(       0&lt;0.1,"*","NS")))</f>
        <v>***</v>
      </c>
      <c r="G27" s="296" t="s">
        <v>3732</v>
      </c>
      <c r="H27" s="4">
        <v>71.433417046434997</v>
      </c>
      <c r="I27" s="4">
        <v>85.231647241220102</v>
      </c>
      <c r="J27" s="4">
        <v>13.798230194785122</v>
      </c>
      <c r="K27" s="979" t="str">
        <f>IF(       0&lt;0.01,"***",IF(       0&lt;0.05,"**",IF(       0&lt;0.1,"*","NS")))</f>
        <v>***</v>
      </c>
      <c r="L27" s="4">
        <v>91.161983303732981</v>
      </c>
      <c r="M27" s="4">
        <v>19.728566257298183</v>
      </c>
      <c r="N27" s="980" t="str">
        <f>IF(       0&lt;0.01,"***",IF(       0&lt;0.05,"**",IF(       0&lt;0.1,"*","NS")))</f>
        <v>***</v>
      </c>
      <c r="P27" s="296" t="s">
        <v>3851</v>
      </c>
      <c r="Q27" s="4">
        <v>75.43469595046642</v>
      </c>
      <c r="R27" s="4">
        <v>91.161983303732981</v>
      </c>
      <c r="S27" s="4">
        <v>15.727287353266528</v>
      </c>
      <c r="T27" s="981" t="str">
        <f>IF(       0&lt;0.01,"***",IF(       0&lt;0.05,"**",IF(       0&lt;0.1,"*","NS")))</f>
        <v>***</v>
      </c>
    </row>
    <row r="28" spans="1:20" x14ac:dyDescent="0.2">
      <c r="A28" s="296" t="s">
        <v>3629</v>
      </c>
      <c r="B28" s="4">
        <v>24.527550108327649</v>
      </c>
      <c r="C28" s="4">
        <v>41.041546793397742</v>
      </c>
      <c r="D28" s="4">
        <v>16.513996685070342</v>
      </c>
      <c r="E28" s="982" t="str">
        <f>IF(       0&lt;0.01,"***",IF(       0&lt;0.05,"**",IF(       0&lt;0.1,"*","NS")))</f>
        <v>***</v>
      </c>
      <c r="G28" s="296" t="s">
        <v>3733</v>
      </c>
      <c r="H28" s="4">
        <v>24.527550108327649</v>
      </c>
      <c r="I28" s="4">
        <v>39.444564485706991</v>
      </c>
      <c r="J28" s="4">
        <v>14.91701437737933</v>
      </c>
      <c r="K28" s="983" t="str">
        <f>IF(       0&lt;0.01,"***",IF(       0&lt;0.05,"**",IF(       0&lt;0.1,"*","NS")))</f>
        <v>***</v>
      </c>
      <c r="L28" s="4">
        <v>47.884101114162071</v>
      </c>
      <c r="M28" s="4">
        <v>23.356551005834525</v>
      </c>
      <c r="N28" s="984" t="str">
        <f>IF(       0.009&lt;0.01,"***",IF(       0.009&lt;0.05,"**",IF(       0.009&lt;0.1,"*","NS")))</f>
        <v>***</v>
      </c>
      <c r="P28" s="296" t="s">
        <v>3852</v>
      </c>
      <c r="Q28" s="4">
        <v>26.880041943028061</v>
      </c>
      <c r="R28" s="4">
        <v>47.884101114162071</v>
      </c>
      <c r="S28" s="4">
        <v>21.004059171134379</v>
      </c>
      <c r="T28" s="985" t="str">
        <f>IF(       0.017&lt;0.01,"***",IF(       0.017&lt;0.05,"**",IF(       0.017&lt;0.1,"*","NS")))</f>
        <v>**</v>
      </c>
    </row>
    <row r="29" spans="1:20" x14ac:dyDescent="0.2">
      <c r="A29" s="296" t="s">
        <v>3630</v>
      </c>
      <c r="B29" s="4">
        <v>98.746553172339461</v>
      </c>
      <c r="C29" s="4">
        <v>99.184993856208806</v>
      </c>
      <c r="D29" s="4">
        <v>0.43844068386935187</v>
      </c>
      <c r="E29" s="986" t="str">
        <f>IF(       0.513&lt;0.01,"***",IF(       0.513&lt;0.05,"**",IF(       0.513&lt;0.1,"*","NS")))</f>
        <v>NS</v>
      </c>
      <c r="G29" s="296" t="s">
        <v>3734</v>
      </c>
      <c r="H29" s="4">
        <v>98.746553172339461</v>
      </c>
      <c r="I29" s="4">
        <v>98.951692591585612</v>
      </c>
      <c r="J29" s="4">
        <v>0.20513941924615531</v>
      </c>
      <c r="K29" s="987" t="str">
        <f>IF(       0.793&lt;0.01,"***",IF(       0.793&lt;0.05,"**",IF(       0.793&lt;0.1,"*","NS")))</f>
        <v>NS</v>
      </c>
      <c r="L29" s="4">
        <v>100</v>
      </c>
      <c r="M29" s="4">
        <v>1.2534468276605382</v>
      </c>
      <c r="N29" s="988" t="str">
        <f>IF(       0.06&lt;0.01,"***",IF(       0.06&lt;0.05,"**",IF(       0.06&lt;0.1,"*","NS")))</f>
        <v>*</v>
      </c>
      <c r="P29" s="296" t="s">
        <v>3853</v>
      </c>
      <c r="Q29" s="4">
        <v>98.788860378663884</v>
      </c>
      <c r="R29" s="4">
        <v>100</v>
      </c>
      <c r="S29" s="4">
        <v>1.2111396213361167</v>
      </c>
      <c r="T29" s="989" t="str">
        <f>IF(       0.055&lt;0.01,"***",IF(       0.055&lt;0.05,"**",IF(       0.055&lt;0.1,"*","NS")))</f>
        <v>*</v>
      </c>
    </row>
    <row r="30" spans="1:20" x14ac:dyDescent="0.2">
      <c r="A30" s="296" t="s">
        <v>3631</v>
      </c>
      <c r="B30" s="4">
        <v>82.459856915845606</v>
      </c>
      <c r="C30" s="4">
        <v>95.306040376690675</v>
      </c>
      <c r="D30" s="4">
        <v>12.846183460845033</v>
      </c>
      <c r="E30" s="990" t="str">
        <f>IF(       0&lt;0.01,"***",IF(       0&lt;0.05,"**",IF(       0&lt;0.1,"*","NS")))</f>
        <v>***</v>
      </c>
      <c r="G30" s="296" t="s">
        <v>3735</v>
      </c>
      <c r="H30" s="4">
        <v>82.459856915845606</v>
      </c>
      <c r="I30" s="4">
        <v>93.858482557403221</v>
      </c>
      <c r="J30" s="4">
        <v>11.398625641557665</v>
      </c>
      <c r="K30" s="991" t="str">
        <f>IF(       0&lt;0.01,"***",IF(       0&lt;0.05,"**",IF(       0&lt;0.1,"*","NS")))</f>
        <v>***</v>
      </c>
      <c r="L30" s="4">
        <v>97.469206783078405</v>
      </c>
      <c r="M30" s="4">
        <v>15.00934986723284</v>
      </c>
      <c r="N30" s="992" t="str">
        <f>IF(       0&lt;0.01,"***",IF(       0&lt;0.05,"**",IF(       0&lt;0.1,"*","NS")))</f>
        <v>***</v>
      </c>
      <c r="P30" s="296" t="s">
        <v>3854</v>
      </c>
      <c r="Q30" s="4">
        <v>86.76811225865319</v>
      </c>
      <c r="R30" s="4">
        <v>97.469206783078405</v>
      </c>
      <c r="S30" s="4">
        <v>10.701094524425189</v>
      </c>
      <c r="T30" s="993" t="str">
        <f>IF(       0&lt;0.01,"***",IF(       0&lt;0.05,"**",IF(       0&lt;0.1,"*","NS")))</f>
        <v>***</v>
      </c>
    </row>
    <row r="31" spans="1:20" x14ac:dyDescent="0.2">
      <c r="A31" s="296" t="s">
        <v>3632</v>
      </c>
      <c r="B31" s="4">
        <v>94.422870077146499</v>
      </c>
      <c r="C31" s="4">
        <v>96.363110970340756</v>
      </c>
      <c r="D31" s="4">
        <v>1.9402408931942583</v>
      </c>
      <c r="E31" s="994" t="str">
        <f>IF(       0.053&lt;0.01,"***",IF(       0.053&lt;0.05,"**",IF(       0.053&lt;0.1,"*","NS")))</f>
        <v>*</v>
      </c>
      <c r="G31" s="296" t="s">
        <v>3736</v>
      </c>
      <c r="H31" s="4">
        <v>94.422870077146499</v>
      </c>
      <c r="I31" s="4">
        <v>95.555992843690078</v>
      </c>
      <c r="J31" s="4">
        <v>1.1331227665435717</v>
      </c>
      <c r="K31" s="995" t="str">
        <f>IF(       0.296&lt;0.01,"***",IF(       0.296&lt;0.05,"**",IF(       0.296&lt;0.1,"*","NS")))</f>
        <v>NS</v>
      </c>
      <c r="L31" s="4">
        <v>98.999930783557076</v>
      </c>
      <c r="M31" s="4">
        <v>4.5770607064105615</v>
      </c>
      <c r="N31" s="996" t="str">
        <f>IF(       0&lt;0.01,"***",IF(       0&lt;0.05,"**",IF(       0&lt;0.1,"*","NS")))</f>
        <v>***</v>
      </c>
      <c r="P31" s="296" t="s">
        <v>3855</v>
      </c>
      <c r="Q31" s="4">
        <v>94.883362572903764</v>
      </c>
      <c r="R31" s="4">
        <v>98.999930783557076</v>
      </c>
      <c r="S31" s="4">
        <v>4.116568210653301</v>
      </c>
      <c r="T31" s="997" t="str">
        <f>IF(       0&lt;0.01,"***",IF(       0&lt;0.05,"**",IF(       0&lt;0.1,"*","NS")))</f>
        <v>***</v>
      </c>
    </row>
    <row r="32" spans="1:20" x14ac:dyDescent="0.2">
      <c r="A32" s="296" t="s">
        <v>3633</v>
      </c>
      <c r="B32" s="4">
        <v>68.022200978723305</v>
      </c>
      <c r="C32" s="4">
        <v>84.701832818112109</v>
      </c>
      <c r="D32" s="4">
        <v>16.679631839388978</v>
      </c>
      <c r="E32" s="998" t="str">
        <f>IF(       0&lt;0.01,"***",IF(       0&lt;0.05,"**",IF(       0&lt;0.1,"*","NS")))</f>
        <v>***</v>
      </c>
      <c r="G32" s="296" t="s">
        <v>3737</v>
      </c>
      <c r="H32" s="4">
        <v>68.022200978723305</v>
      </c>
      <c r="I32" s="4">
        <v>84.27510784776517</v>
      </c>
      <c r="J32" s="4">
        <v>16.252906869041844</v>
      </c>
      <c r="K32" s="999" t="str">
        <f>IF(       0&lt;0.01,"***",IF(       0&lt;0.05,"**",IF(       0&lt;0.1,"*","NS")))</f>
        <v>***</v>
      </c>
      <c r="L32" s="4">
        <v>85.807828207210704</v>
      </c>
      <c r="M32" s="4">
        <v>17.785627228487265</v>
      </c>
      <c r="N32" s="1000" t="str">
        <f>IF(       0&lt;0.01,"***",IF(       0&lt;0.05,"**",IF(       0&lt;0.1,"*","NS")))</f>
        <v>***</v>
      </c>
      <c r="P32" s="296" t="s">
        <v>3856</v>
      </c>
      <c r="Q32" s="4">
        <v>72.276450136941321</v>
      </c>
      <c r="R32" s="4">
        <v>85.807828207210704</v>
      </c>
      <c r="S32" s="4">
        <v>13.53137807026935</v>
      </c>
      <c r="T32" s="1001" t="str">
        <f>IF(       0&lt;0.01,"***",IF(       0&lt;0.05,"**",IF(       0&lt;0.1,"*","NS")))</f>
        <v>***</v>
      </c>
    </row>
    <row r="33" spans="1:20" x14ac:dyDescent="0.2">
      <c r="A33" s="296" t="s">
        <v>3634</v>
      </c>
      <c r="B33" s="4">
        <v>45.548797344532503</v>
      </c>
      <c r="C33" s="4">
        <v>72.910939870575376</v>
      </c>
      <c r="D33" s="4">
        <v>27.362142526043172</v>
      </c>
      <c r="E33" s="1002" t="str">
        <f>IF(       0&lt;0.01,"***",IF(       0&lt;0.05,"**",IF(       0&lt;0.1,"*","NS")))</f>
        <v>***</v>
      </c>
      <c r="G33" s="296" t="s">
        <v>3738</v>
      </c>
      <c r="H33" s="4">
        <v>45.548797344532503</v>
      </c>
      <c r="I33" s="4">
        <v>69.182670472057623</v>
      </c>
      <c r="J33" s="4">
        <v>23.633873127525284</v>
      </c>
      <c r="K33" s="1003" t="str">
        <f>IF(       0&lt;0.01,"***",IF(       0&lt;0.05,"**",IF(       0&lt;0.1,"*","NS")))</f>
        <v>***</v>
      </c>
      <c r="L33" s="4">
        <v>83.212782631320948</v>
      </c>
      <c r="M33" s="4">
        <v>37.663985286788716</v>
      </c>
      <c r="N33" s="1004" t="str">
        <f>IF(       0&lt;0.01,"***",IF(       0&lt;0.05,"**",IF(       0&lt;0.1,"*","NS")))</f>
        <v>***</v>
      </c>
      <c r="P33" s="296" t="s">
        <v>3857</v>
      </c>
      <c r="Q33" s="4">
        <v>51.080945244218242</v>
      </c>
      <c r="R33" s="4">
        <v>83.212782631320948</v>
      </c>
      <c r="S33" s="4">
        <v>32.131837387102728</v>
      </c>
      <c r="T33" s="1005" t="str">
        <f>IF(       0&lt;0.01,"***",IF(       0&lt;0.05,"**",IF(       0&lt;0.1,"*","NS")))</f>
        <v>***</v>
      </c>
    </row>
    <row r="34" spans="1:20" x14ac:dyDescent="0.2">
      <c r="A34" s="296" t="s">
        <v>3635</v>
      </c>
      <c r="B34" s="4">
        <v>86.436608797367029</v>
      </c>
      <c r="C34" s="4">
        <v>91.403886571767615</v>
      </c>
      <c r="D34" s="4">
        <v>4.9672777744006078</v>
      </c>
      <c r="E34" s="1006" t="str">
        <f>IF(       0.029&lt;0.01,"***",IF(       0.029&lt;0.05,"**",IF(       0.029&lt;0.1,"*","NS")))</f>
        <v>**</v>
      </c>
      <c r="G34" s="296" t="s">
        <v>3739</v>
      </c>
      <c r="H34" s="4">
        <v>86.436608797367029</v>
      </c>
      <c r="I34" s="4">
        <v>91.299572223908825</v>
      </c>
      <c r="J34" s="4">
        <v>4.862963426541806</v>
      </c>
      <c r="K34" s="1007" t="str">
        <f>IF(       0.014&lt;0.01,"***",IF(       0.014&lt;0.05,"**",IF(       0.014&lt;0.1,"*","NS")))</f>
        <v>**</v>
      </c>
      <c r="L34" s="4">
        <v>91.749410939801365</v>
      </c>
      <c r="M34" s="4">
        <v>5.3128021424343501</v>
      </c>
      <c r="N34" s="1008" t="str">
        <f>IF(       0.304&lt;0.01,"***",IF(       0.304&lt;0.05,"**",IF(       0.304&lt;0.1,"*","NS")))</f>
        <v>NS</v>
      </c>
      <c r="P34" s="296" t="s">
        <v>3858</v>
      </c>
      <c r="Q34" s="4">
        <v>87.653387707027576</v>
      </c>
      <c r="R34" s="4">
        <v>91.749410939801365</v>
      </c>
      <c r="S34" s="4">
        <v>4.0960232327737929</v>
      </c>
      <c r="T34" s="1009" t="str">
        <f>IF(       0.412&lt;0.01,"***",IF(       0.412&lt;0.05,"**",IF(       0.412&lt;0.1,"*","NS")))</f>
        <v>NS</v>
      </c>
    </row>
    <row r="35" spans="1:20" x14ac:dyDescent="0.2">
      <c r="A35" s="296" t="s">
        <v>3636</v>
      </c>
      <c r="B35" s="4">
        <v>85.473860133386225</v>
      </c>
      <c r="C35" s="4">
        <v>92.803452634204277</v>
      </c>
      <c r="D35" s="4">
        <v>7.3295925008180633</v>
      </c>
      <c r="E35" s="1010" t="str">
        <f>IF(       0&lt;0.01,"***",IF(       0&lt;0.05,"**",IF(       0&lt;0.1,"*","NS")))</f>
        <v>***</v>
      </c>
      <c r="G35" s="296" t="s">
        <v>3740</v>
      </c>
      <c r="H35" s="4">
        <v>85.473860133386225</v>
      </c>
      <c r="I35" s="4">
        <v>90.872941794805271</v>
      </c>
      <c r="J35" s="4">
        <v>5.3990816614190642</v>
      </c>
      <c r="K35" s="1011" t="str">
        <f>IF(       0.011&lt;0.01,"***",IF(       0.011&lt;0.05,"**",IF(       0.011&lt;0.1,"*","NS")))</f>
        <v>**</v>
      </c>
      <c r="L35" s="4">
        <v>96.706087790777175</v>
      </c>
      <c r="M35" s="4">
        <v>11.232227657390926</v>
      </c>
      <c r="N35" s="1012" t="str">
        <f>IF(       0&lt;0.01,"***",IF(       0&lt;0.05,"**",IF(       0&lt;0.1,"*","NS")))</f>
        <v>***</v>
      </c>
      <c r="P35" s="296" t="s">
        <v>3859</v>
      </c>
      <c r="Q35" s="4">
        <v>87.29003808867526</v>
      </c>
      <c r="R35" s="4">
        <v>96.706087790777175</v>
      </c>
      <c r="S35" s="4">
        <v>9.4160497021019047</v>
      </c>
      <c r="T35" s="1013" t="str">
        <f>IF(       0&lt;0.01,"***",IF(       0&lt;0.05,"**",IF(       0&lt;0.1,"*","NS")))</f>
        <v>***</v>
      </c>
    </row>
    <row r="36" spans="1:20" x14ac:dyDescent="0.2">
      <c r="A36" s="296" t="s">
        <v>3637</v>
      </c>
      <c r="B36" s="4">
        <v>95.283920044919128</v>
      </c>
      <c r="C36" s="4">
        <v>98.403686837794979</v>
      </c>
      <c r="D36" s="4">
        <v>3.119766792875859</v>
      </c>
      <c r="E36" s="1014" t="str">
        <f>IF(       0.007&lt;0.01,"***",IF(       0.007&lt;0.05,"**",IF(       0.007&lt;0.1,"*","NS")))</f>
        <v>***</v>
      </c>
      <c r="G36" s="296" t="s">
        <v>3741</v>
      </c>
      <c r="H36" s="4">
        <v>95.283920044919128</v>
      </c>
      <c r="I36" s="4">
        <v>98.183815435995001</v>
      </c>
      <c r="J36" s="4">
        <v>2.8998953910758885</v>
      </c>
      <c r="K36" s="1015" t="str">
        <f>IF(       0.025&lt;0.01,"***",IF(       0.025&lt;0.05,"**",IF(       0.025&lt;0.1,"*","NS")))</f>
        <v>**</v>
      </c>
      <c r="L36" s="4">
        <v>99.189761894208971</v>
      </c>
      <c r="M36" s="4">
        <v>3.9058418492898275</v>
      </c>
      <c r="N36" s="1016" t="str">
        <f>IF(       0&lt;0.01,"***",IF(       0&lt;0.05,"**",IF(       0&lt;0.1,"*","NS")))</f>
        <v>***</v>
      </c>
      <c r="P36" s="296" t="s">
        <v>3860</v>
      </c>
      <c r="Q36" s="4">
        <v>96.076693006237505</v>
      </c>
      <c r="R36" s="4">
        <v>99.189761894208971</v>
      </c>
      <c r="S36" s="4">
        <v>3.1130688879714894</v>
      </c>
      <c r="T36" s="1017" t="str">
        <f>IF(       0&lt;0.01,"***",IF(       0&lt;0.05,"**",IF(       0&lt;0.1,"*","NS")))</f>
        <v>***</v>
      </c>
    </row>
    <row r="37" spans="1:20" x14ac:dyDescent="0.2">
      <c r="A37" s="296" t="s">
        <v>5835</v>
      </c>
      <c r="B37" s="4">
        <v>74.874172978871655</v>
      </c>
      <c r="C37" s="4">
        <v>88.865339729150449</v>
      </c>
      <c r="D37" s="4">
        <v>13.991166750278664</v>
      </c>
      <c r="E37" s="1018" t="str">
        <f>IF(       0&lt;0.01,"***",IF(       0&lt;0.05,"**",IF(       0&lt;0.1,"*","NS")))</f>
        <v>***</v>
      </c>
      <c r="G37" s="296" t="s">
        <v>5835</v>
      </c>
      <c r="H37" s="4">
        <v>74.874172978871655</v>
      </c>
      <c r="I37" s="4">
        <v>87.51633191899937</v>
      </c>
      <c r="J37" s="4">
        <v>12.642158940127768</v>
      </c>
      <c r="K37" s="1019" t="str">
        <f>IF(       0&lt;0.01,"***",IF(       0&lt;0.05,"**",IF(       0&lt;0.1,"*","NS")))</f>
        <v>***</v>
      </c>
      <c r="L37" s="4">
        <v>92.648546118470605</v>
      </c>
      <c r="M37" s="4">
        <v>17.774373139599092</v>
      </c>
      <c r="N37" s="1020" t="str">
        <f>IF(       0&lt;0.01,"***",IF(       0&lt;0.05,"**",IF(       0&lt;0.1,"*","NS")))</f>
        <v>***</v>
      </c>
      <c r="P37" s="296" t="s">
        <v>5835</v>
      </c>
      <c r="Q37" s="4">
        <v>78.465654687405433</v>
      </c>
      <c r="R37" s="4">
        <v>92.648546118470605</v>
      </c>
      <c r="S37" s="4">
        <v>14.182891431065698</v>
      </c>
      <c r="T37" s="1021" t="str">
        <f>IF(       0&lt;0.01,"***",IF(       0&lt;0.05,"**",IF(       0&lt;0.1,"*","NS")))</f>
        <v>***</v>
      </c>
    </row>
    <row r="39" spans="1:20" x14ac:dyDescent="0.2">
      <c r="A39" s="296" t="s">
        <v>3638</v>
      </c>
      <c r="G39" s="296" t="s">
        <v>3742</v>
      </c>
      <c r="P39" s="296" t="s">
        <v>3861</v>
      </c>
    </row>
    <row r="40" spans="1:20" s="3" customFormat="1" x14ac:dyDescent="0.2">
      <c r="A40" s="5280" t="s">
        <v>3639</v>
      </c>
      <c r="B40" s="5281" t="s">
        <v>3640</v>
      </c>
      <c r="C40" s="5282" t="s">
        <v>3641</v>
      </c>
      <c r="D40" s="5283" t="s">
        <v>3642</v>
      </c>
      <c r="E40" s="5284" t="s">
        <v>3643</v>
      </c>
      <c r="G40" s="5285" t="s">
        <v>3743</v>
      </c>
      <c r="H40" s="5286" t="s">
        <v>3744</v>
      </c>
      <c r="I40" s="5287" t="s">
        <v>3745</v>
      </c>
      <c r="J40" s="5288" t="s">
        <v>3746</v>
      </c>
      <c r="K40" s="5289" t="s">
        <v>3747</v>
      </c>
      <c r="L40" s="5290" t="s">
        <v>3810</v>
      </c>
      <c r="M40" s="5291" t="s">
        <v>3811</v>
      </c>
      <c r="N40" s="5292" t="s">
        <v>3812</v>
      </c>
      <c r="P40" s="5293" t="s">
        <v>3862</v>
      </c>
      <c r="Q40" s="5294" t="s">
        <v>3863</v>
      </c>
      <c r="R40" s="5295" t="s">
        <v>3864</v>
      </c>
      <c r="S40" s="5296" t="s">
        <v>3865</v>
      </c>
      <c r="T40" s="5297" t="s">
        <v>3866</v>
      </c>
    </row>
    <row r="41" spans="1:20" x14ac:dyDescent="0.2">
      <c r="A41" s="296" t="s">
        <v>3644</v>
      </c>
      <c r="B41" s="4">
        <v>86.3359054695119</v>
      </c>
      <c r="C41" s="4">
        <v>90.231033147181066</v>
      </c>
      <c r="D41" s="4">
        <v>3.895127677669143</v>
      </c>
      <c r="E41" s="1022" t="str">
        <f>IF(       0.125&lt;0.01,"***",IF(       0.125&lt;0.05,"**",IF(       0.125&lt;0.1,"*","NS")))</f>
        <v>NS</v>
      </c>
      <c r="G41" s="296" t="s">
        <v>3748</v>
      </c>
      <c r="H41" s="4">
        <v>86.3359054695119</v>
      </c>
      <c r="I41" s="4">
        <v>89.73668403317869</v>
      </c>
      <c r="J41" s="4">
        <v>3.400778563666798</v>
      </c>
      <c r="K41" s="1023" t="str">
        <f>IF(       0.195&lt;0.01,"***",IF(       0.195&lt;0.05,"**",IF(       0.195&lt;0.1,"*","NS")))</f>
        <v>NS</v>
      </c>
      <c r="L41" s="4">
        <v>92.537276750508312</v>
      </c>
      <c r="M41" s="4">
        <v>6.2013712809964581</v>
      </c>
      <c r="N41" s="1024" t="str">
        <f>IF(       0.131&lt;0.01,"***",IF(       0.131&lt;0.05,"**",IF(       0.131&lt;0.1,"*","NS")))</f>
        <v>NS</v>
      </c>
      <c r="P41" s="296" t="s">
        <v>3867</v>
      </c>
      <c r="Q41" s="4">
        <v>87.486852988842656</v>
      </c>
      <c r="R41" s="4">
        <v>92.537276750508312</v>
      </c>
      <c r="S41" s="4">
        <v>5.0504237616656598</v>
      </c>
      <c r="T41" s="1025" t="str">
        <f>IF(       0.191&lt;0.01,"***",IF(       0.191&lt;0.05,"**",IF(       0.191&lt;0.1,"*","NS")))</f>
        <v>NS</v>
      </c>
    </row>
    <row r="42" spans="1:20" x14ac:dyDescent="0.2">
      <c r="A42" s="296" t="s">
        <v>3645</v>
      </c>
      <c r="B42" s="4">
        <v>82.707087276822122</v>
      </c>
      <c r="C42" s="4">
        <v>92.469622272849151</v>
      </c>
      <c r="D42" s="4">
        <v>9.7625349960269823</v>
      </c>
      <c r="E42" s="1026" t="str">
        <f>IF(       0&lt;0.01,"***",IF(       0&lt;0.05,"**",IF(       0&lt;0.1,"*","NS")))</f>
        <v>***</v>
      </c>
      <c r="G42" s="296" t="s">
        <v>3749</v>
      </c>
      <c r="H42" s="4">
        <v>82.707087276822122</v>
      </c>
      <c r="I42" s="4">
        <v>91.78565589788613</v>
      </c>
      <c r="J42" s="4">
        <v>9.0785686210640684</v>
      </c>
      <c r="K42" s="1027" t="str">
        <f>IF(       0&lt;0.01,"***",IF(       0&lt;0.05,"**",IF(       0&lt;0.1,"*","NS")))</f>
        <v>***</v>
      </c>
      <c r="L42" s="4">
        <v>94.313383174446344</v>
      </c>
      <c r="M42" s="4">
        <v>11.606295897624229</v>
      </c>
      <c r="N42" s="1028" t="str">
        <f>IF(       0&lt;0.01,"***",IF(       0&lt;0.05,"**",IF(       0&lt;0.1,"*","NS")))</f>
        <v>***</v>
      </c>
      <c r="P42" s="296" t="s">
        <v>3868</v>
      </c>
      <c r="Q42" s="4">
        <v>84.882792802790476</v>
      </c>
      <c r="R42" s="4">
        <v>94.313383174446344</v>
      </c>
      <c r="S42" s="4">
        <v>9.4305903716557786</v>
      </c>
      <c r="T42" s="1029" t="str">
        <f>IF(       0.002&lt;0.01,"***",IF(       0.002&lt;0.05,"**",IF(       0.002&lt;0.1,"*","NS")))</f>
        <v>***</v>
      </c>
    </row>
    <row r="43" spans="1:20" x14ac:dyDescent="0.2">
      <c r="A43" s="296" t="s">
        <v>3646</v>
      </c>
      <c r="B43" s="4">
        <v>86.893368740447912</v>
      </c>
      <c r="C43" s="4">
        <v>93.321066867004987</v>
      </c>
      <c r="D43" s="4">
        <v>6.4276981265570816</v>
      </c>
      <c r="E43" s="1030" t="str">
        <f>IF(       0.015&lt;0.01,"***",IF(       0.015&lt;0.05,"**",IF(       0.015&lt;0.1,"*","NS")))</f>
        <v>**</v>
      </c>
      <c r="G43" s="296" t="s">
        <v>3750</v>
      </c>
      <c r="H43" s="4">
        <v>86.893368740447912</v>
      </c>
      <c r="I43" s="4">
        <v>92.111703558195202</v>
      </c>
      <c r="J43" s="4">
        <v>5.2183348177472784</v>
      </c>
      <c r="K43" s="1031" t="str">
        <f>IF(       0.037&lt;0.01,"***",IF(       0.037&lt;0.05,"**",IF(       0.037&lt;0.1,"*","NS")))</f>
        <v>**</v>
      </c>
      <c r="L43" s="4">
        <v>97.527861956138338</v>
      </c>
      <c r="M43" s="4">
        <v>10.63449321569035</v>
      </c>
      <c r="N43" s="1032" t="str">
        <f>IF(       0.01&lt;0.01,"***",IF(       0.01&lt;0.05,"**",IF(       0.01&lt;0.1,"*","NS")))</f>
        <v>**</v>
      </c>
      <c r="P43" s="296" t="s">
        <v>3869</v>
      </c>
      <c r="Q43" s="4">
        <v>88.131410298082869</v>
      </c>
      <c r="R43" s="4">
        <v>97.527861956138338</v>
      </c>
      <c r="S43" s="4">
        <v>9.396451658055522</v>
      </c>
      <c r="T43" s="1033" t="str">
        <f>IF(       0.013&lt;0.01,"***",IF(       0.013&lt;0.05,"**",IF(       0.013&lt;0.1,"*","NS")))</f>
        <v>**</v>
      </c>
    </row>
    <row r="44" spans="1:20" x14ac:dyDescent="0.2">
      <c r="A44" s="296" t="s">
        <v>3647</v>
      </c>
      <c r="B44" s="4">
        <v>85.186289609326735</v>
      </c>
      <c r="C44" s="4">
        <v>89.115375256384525</v>
      </c>
      <c r="D44" s="4">
        <v>3.9290856470577964</v>
      </c>
      <c r="E44" s="1034" t="str">
        <f>IF(       0.033&lt;0.01,"***",IF(       0.033&lt;0.05,"**",IF(       0.033&lt;0.1,"*","NS")))</f>
        <v>**</v>
      </c>
      <c r="G44" s="296" t="s">
        <v>3751</v>
      </c>
      <c r="H44" s="4">
        <v>85.186289609326735</v>
      </c>
      <c r="I44" s="4">
        <v>88.457533658941017</v>
      </c>
      <c r="J44" s="4">
        <v>3.2712440496142787</v>
      </c>
      <c r="K44" s="1035" t="str">
        <f>IF(       0.143&lt;0.01,"***",IF(       0.143&lt;0.05,"**",IF(       0.143&lt;0.1,"*","NS")))</f>
        <v>NS</v>
      </c>
      <c r="L44" s="4">
        <v>91.858796272086664</v>
      </c>
      <c r="M44" s="4">
        <v>6.6725066627599263</v>
      </c>
      <c r="N44" s="1036" t="str">
        <f>IF(       0.012&lt;0.01,"***",IF(       0.012&lt;0.05,"**",IF(       0.012&lt;0.1,"*","NS")))</f>
        <v>**</v>
      </c>
      <c r="P44" s="296" t="s">
        <v>3870</v>
      </c>
      <c r="Q44" s="4">
        <v>86.10098532343892</v>
      </c>
      <c r="R44" s="4">
        <v>91.858796272086664</v>
      </c>
      <c r="S44" s="4">
        <v>5.7578109486477702</v>
      </c>
      <c r="T44" s="1037" t="str">
        <f>IF(       0.039&lt;0.01,"***",IF(       0.039&lt;0.05,"**",IF(       0.039&lt;0.1,"*","NS")))</f>
        <v>**</v>
      </c>
    </row>
    <row r="45" spans="1:20" x14ac:dyDescent="0.2">
      <c r="A45" s="296" t="s">
        <v>3648</v>
      </c>
      <c r="B45" s="4">
        <v>83.914404953664672</v>
      </c>
      <c r="C45" s="4">
        <v>88.968210851337815</v>
      </c>
      <c r="D45" s="4">
        <v>5.0538058976731524</v>
      </c>
      <c r="E45" s="1038" t="str">
        <f>IF(       0.08&lt;0.01,"***",IF(       0.08&lt;0.05,"**",IF(       0.08&lt;0.1,"*","NS")))</f>
        <v>*</v>
      </c>
      <c r="G45" s="296" t="s">
        <v>3752</v>
      </c>
      <c r="H45" s="4">
        <v>83.914404953664672</v>
      </c>
      <c r="I45" s="4">
        <v>88.305110129515285</v>
      </c>
      <c r="J45" s="4">
        <v>4.3907051758506022</v>
      </c>
      <c r="K45" s="1039" t="str">
        <f>IF(       0.15&lt;0.01,"***",IF(       0.15&lt;0.05,"**",IF(       0.15&lt;0.1,"*","NS")))</f>
        <v>NS</v>
      </c>
      <c r="L45" s="4">
        <v>92.365822234605702</v>
      </c>
      <c r="M45" s="4">
        <v>8.451417280940948</v>
      </c>
      <c r="N45" s="1040" t="str">
        <f>IF(       0.043&lt;0.01,"***",IF(       0.043&lt;0.05,"**",IF(       0.043&lt;0.1,"*","NS")))</f>
        <v>**</v>
      </c>
      <c r="P45" s="296" t="s">
        <v>3871</v>
      </c>
      <c r="Q45" s="4">
        <v>85.058970404195364</v>
      </c>
      <c r="R45" s="4">
        <v>92.365822234605702</v>
      </c>
      <c r="S45" s="4">
        <v>7.3068518304103121</v>
      </c>
      <c r="T45" s="1041" t="str">
        <f>IF(       0.064&lt;0.01,"***",IF(       0.064&lt;0.05,"**",IF(       0.064&lt;0.1,"*","NS")))</f>
        <v>*</v>
      </c>
    </row>
    <row r="46" spans="1:20" x14ac:dyDescent="0.2">
      <c r="A46" s="296" t="s">
        <v>3649</v>
      </c>
      <c r="B46" s="4">
        <v>67.879608230098455</v>
      </c>
      <c r="C46" s="4">
        <v>78.845094730739589</v>
      </c>
      <c r="D46" s="4">
        <v>10.965486500640989</v>
      </c>
      <c r="E46" s="1042" t="str">
        <f>IF(       0.005&lt;0.01,"***",IF(       0.005&lt;0.05,"**",IF(       0.005&lt;0.1,"*","NS")))</f>
        <v>***</v>
      </c>
      <c r="G46" s="296" t="s">
        <v>3753</v>
      </c>
      <c r="H46" s="4">
        <v>67.879608230098455</v>
      </c>
      <c r="I46" s="4">
        <v>77.318645536113621</v>
      </c>
      <c r="J46" s="4">
        <v>9.4390373060151553</v>
      </c>
      <c r="K46" s="1043" t="str">
        <f>IF(       0.022&lt;0.01,"***",IF(       0.022&lt;0.05,"**",IF(       0.022&lt;0.1,"*","NS")))</f>
        <v>**</v>
      </c>
      <c r="L46" s="4">
        <v>84.160656948026897</v>
      </c>
      <c r="M46" s="4">
        <v>16.281048717928382</v>
      </c>
      <c r="N46" s="1044" t="str">
        <f>IF(       0.002&lt;0.01,"***",IF(       0.002&lt;0.05,"**",IF(       0.002&lt;0.1,"*","NS")))</f>
        <v>***</v>
      </c>
      <c r="P46" s="296" t="s">
        <v>3872</v>
      </c>
      <c r="Q46" s="4">
        <v>70.419270601380163</v>
      </c>
      <c r="R46" s="4">
        <v>84.160656948026897</v>
      </c>
      <c r="S46" s="4">
        <v>13.741386346646731</v>
      </c>
      <c r="T46" s="1045" t="str">
        <f>IF(       0.005&lt;0.01,"***",IF(       0.005&lt;0.05,"**",IF(       0.005&lt;0.1,"*","NS")))</f>
        <v>***</v>
      </c>
    </row>
    <row r="47" spans="1:20" x14ac:dyDescent="0.2">
      <c r="A47" s="296" t="s">
        <v>3650</v>
      </c>
      <c r="B47" s="4" t="s">
        <v>6067</v>
      </c>
      <c r="C47" s="4" t="s">
        <v>6067</v>
      </c>
      <c r="D47" s="4" t="s">
        <v>6067</v>
      </c>
      <c r="E47" s="4" t="s">
        <v>6067</v>
      </c>
      <c r="G47" s="296" t="s">
        <v>3754</v>
      </c>
      <c r="H47" s="4" t="s">
        <v>6067</v>
      </c>
      <c r="I47" s="4" t="s">
        <v>6067</v>
      </c>
      <c r="J47" s="4" t="s">
        <v>6067</v>
      </c>
      <c r="K47" s="4" t="s">
        <v>6067</v>
      </c>
      <c r="L47" s="4" t="s">
        <v>6067</v>
      </c>
      <c r="M47" s="4" t="s">
        <v>6067</v>
      </c>
      <c r="N47" s="4" t="s">
        <v>6067</v>
      </c>
      <c r="P47" s="296" t="s">
        <v>3873</v>
      </c>
      <c r="Q47" s="4" t="s">
        <v>6067</v>
      </c>
      <c r="R47" s="4" t="s">
        <v>6067</v>
      </c>
      <c r="S47" s="4" t="s">
        <v>6067</v>
      </c>
      <c r="T47" s="4" t="s">
        <v>6067</v>
      </c>
    </row>
    <row r="48" spans="1:20" x14ac:dyDescent="0.2">
      <c r="A48" s="296" t="s">
        <v>3651</v>
      </c>
      <c r="B48" s="4">
        <v>99.025391668448492</v>
      </c>
      <c r="C48" s="4">
        <v>98.136613957906675</v>
      </c>
      <c r="D48" s="4">
        <v>-0.88877771054181398</v>
      </c>
      <c r="E48" s="1046" t="str">
        <f>IF(       0.306&lt;0.01,"***",IF(       0.306&lt;0.05,"**",IF(       0.306&lt;0.1,"*","NS")))</f>
        <v>NS</v>
      </c>
      <c r="G48" s="296" t="s">
        <v>3755</v>
      </c>
      <c r="H48" s="4">
        <v>99.025391668448492</v>
      </c>
      <c r="I48" s="4">
        <v>97.513172878404944</v>
      </c>
      <c r="J48" s="4">
        <v>-1.5122187900435409</v>
      </c>
      <c r="K48" s="1047" t="str">
        <f>IF(       0.214&lt;0.01,"***",IF(       0.214&lt;0.05,"**",IF(       0.214&lt;0.1,"*","NS")))</f>
        <v>NS</v>
      </c>
      <c r="L48" s="4">
        <v>100</v>
      </c>
      <c r="M48" s="4">
        <v>0.97460833155150173</v>
      </c>
      <c r="N48" s="1048" t="str">
        <f>IF(       0.126&lt;0.01,"***",IF(       0.126&lt;0.05,"**",IF(       0.126&lt;0.1,"*","NS")))</f>
        <v>NS</v>
      </c>
      <c r="P48" s="296" t="s">
        <v>3874</v>
      </c>
      <c r="Q48" s="4">
        <v>98.782653083369581</v>
      </c>
      <c r="R48" s="4">
        <v>100</v>
      </c>
      <c r="S48" s="4">
        <v>1.2173469166304254</v>
      </c>
      <c r="T48" s="1049" t="str">
        <f>IF(       0.086&lt;0.01,"***",IF(       0.086&lt;0.05,"**",IF(       0.086&lt;0.1,"*","NS")))</f>
        <v>*</v>
      </c>
    </row>
    <row r="49" spans="1:20" x14ac:dyDescent="0.2">
      <c r="A49" s="296" t="s">
        <v>3652</v>
      </c>
      <c r="B49" s="4">
        <v>80.264396170464778</v>
      </c>
      <c r="C49" s="4">
        <v>90.326861264804677</v>
      </c>
      <c r="D49" s="4">
        <v>10.062465094339881</v>
      </c>
      <c r="E49" s="1050" t="str">
        <f>IF(       0&lt;0.01,"***",IF(       0&lt;0.05,"**",IF(       0&lt;0.1,"*","NS")))</f>
        <v>***</v>
      </c>
      <c r="G49" s="296" t="s">
        <v>3756</v>
      </c>
      <c r="H49" s="4">
        <v>80.264396170464778</v>
      </c>
      <c r="I49" s="4">
        <v>89.050706604663532</v>
      </c>
      <c r="J49" s="4">
        <v>8.7863104341987164</v>
      </c>
      <c r="K49" s="1051" t="str">
        <f>IF(       0.001&lt;0.01,"***",IF(       0.001&lt;0.05,"**",IF(       0.001&lt;0.1,"*","NS")))</f>
        <v>***</v>
      </c>
      <c r="L49" s="4">
        <v>92.593637439942654</v>
      </c>
      <c r="M49" s="4">
        <v>12.329241269477945</v>
      </c>
      <c r="N49" s="1052" t="str">
        <f>IF(       0&lt;0.01,"***",IF(       0&lt;0.05,"**",IF(       0&lt;0.1,"*","NS")))</f>
        <v>***</v>
      </c>
      <c r="P49" s="296" t="s">
        <v>3875</v>
      </c>
      <c r="Q49" s="4">
        <v>82.863106432290209</v>
      </c>
      <c r="R49" s="4">
        <v>92.593637439942654</v>
      </c>
      <c r="S49" s="4">
        <v>9.7305310076524396</v>
      </c>
      <c r="T49" s="1053" t="str">
        <f>IF(       0&lt;0.01,"***",IF(       0&lt;0.05,"**",IF(       0&lt;0.1,"*","NS")))</f>
        <v>***</v>
      </c>
    </row>
    <row r="50" spans="1:20" x14ac:dyDescent="0.2">
      <c r="A50" s="296" t="s">
        <v>3653</v>
      </c>
      <c r="B50" s="4">
        <v>93.36212989391484</v>
      </c>
      <c r="C50" s="4">
        <v>95.087975275557213</v>
      </c>
      <c r="D50" s="4">
        <v>1.7258453816423798</v>
      </c>
      <c r="E50" s="1054" t="str">
        <f>IF(       0.067&lt;0.01,"***",IF(       0.067&lt;0.05,"**",IF(       0.067&lt;0.1,"*","NS")))</f>
        <v>*</v>
      </c>
      <c r="G50" s="296" t="s">
        <v>3757</v>
      </c>
      <c r="H50" s="4">
        <v>93.36212989391484</v>
      </c>
      <c r="I50" s="4">
        <v>94.878305306276701</v>
      </c>
      <c r="J50" s="4">
        <v>1.5161754123618545</v>
      </c>
      <c r="K50" s="1055" t="str">
        <f>IF(       0.155&lt;0.01,"***",IF(       0.155&lt;0.05,"**",IF(       0.155&lt;0.1,"*","NS")))</f>
        <v>NS</v>
      </c>
      <c r="L50" s="4">
        <v>95.765400128060065</v>
      </c>
      <c r="M50" s="4">
        <v>2.4032702341452148</v>
      </c>
      <c r="N50" s="1056" t="str">
        <f>IF(       0.108&lt;0.01,"***",IF(       0.108&lt;0.05,"**",IF(       0.108&lt;0.1,"*","NS")))</f>
        <v>NS</v>
      </c>
      <c r="P50" s="296" t="s">
        <v>3876</v>
      </c>
      <c r="Q50" s="4">
        <v>93.915496191608597</v>
      </c>
      <c r="R50" s="4">
        <v>95.765400128060065</v>
      </c>
      <c r="S50" s="4">
        <v>1.8499039364514904</v>
      </c>
      <c r="T50" s="1057" t="str">
        <f>IF(       0.21&lt;0.01,"***",IF(       0.21&lt;0.05,"**",IF(       0.21&lt;0.1,"*","NS")))</f>
        <v>NS</v>
      </c>
    </row>
    <row r="51" spans="1:20" x14ac:dyDescent="0.2">
      <c r="A51" s="296" t="s">
        <v>3654</v>
      </c>
      <c r="B51" s="4">
        <v>68.0717305574112</v>
      </c>
      <c r="C51" s="4">
        <v>77.481867819496102</v>
      </c>
      <c r="D51" s="4">
        <v>9.410137262084918</v>
      </c>
      <c r="E51" s="1058" t="str">
        <f>IF(       0.001&lt;0.01,"***",IF(       0.001&lt;0.05,"**",IF(       0.001&lt;0.1,"*","NS")))</f>
        <v>***</v>
      </c>
      <c r="G51" s="296" t="s">
        <v>3758</v>
      </c>
      <c r="H51" s="4">
        <v>68.0717305574112</v>
      </c>
      <c r="I51" s="4">
        <v>77.942110132039844</v>
      </c>
      <c r="J51" s="4">
        <v>9.8703795746285721</v>
      </c>
      <c r="K51" s="1059" t="str">
        <f>IF(       0.001&lt;0.01,"***",IF(       0.001&lt;0.05,"**",IF(       0.001&lt;0.1,"*","NS")))</f>
        <v>***</v>
      </c>
      <c r="L51" s="4">
        <v>76.169317599415848</v>
      </c>
      <c r="M51" s="4">
        <v>8.0975870420045695</v>
      </c>
      <c r="N51" s="1060" t="str">
        <f>IF(       0.147&lt;0.01,"***",IF(       0.147&lt;0.05,"**",IF(       0.147&lt;0.1,"*","NS")))</f>
        <v>NS</v>
      </c>
      <c r="P51" s="296" t="s">
        <v>3877</v>
      </c>
      <c r="Q51" s="4">
        <v>70.209387514139976</v>
      </c>
      <c r="R51" s="4">
        <v>76.169317599415848</v>
      </c>
      <c r="S51" s="4">
        <v>5.9599300852758779</v>
      </c>
      <c r="T51" s="1061" t="str">
        <f>IF(       0.28&lt;0.01,"***",IF(       0.28&lt;0.05,"**",IF(       0.28&lt;0.1,"*","NS")))</f>
        <v>NS</v>
      </c>
    </row>
    <row r="52" spans="1:20" x14ac:dyDescent="0.2">
      <c r="A52" s="296" t="s">
        <v>3655</v>
      </c>
      <c r="B52" s="4">
        <v>47.825310849417818</v>
      </c>
      <c r="C52" s="4">
        <v>69.16438755264322</v>
      </c>
      <c r="D52" s="4">
        <v>21.339076703225615</v>
      </c>
      <c r="E52" s="1062" t="str">
        <f>IF(       0&lt;0.01,"***",IF(       0&lt;0.05,"**",IF(       0&lt;0.1,"*","NS")))</f>
        <v>***</v>
      </c>
      <c r="G52" s="296" t="s">
        <v>3759</v>
      </c>
      <c r="H52" s="4">
        <v>47.825310849417818</v>
      </c>
      <c r="I52" s="4">
        <v>64.327412635383041</v>
      </c>
      <c r="J52" s="4">
        <v>16.502101785965202</v>
      </c>
      <c r="K52" s="1063" t="str">
        <f>IF(       0&lt;0.01,"***",IF(       0&lt;0.05,"**",IF(       0&lt;0.1,"*","NS")))</f>
        <v>***</v>
      </c>
      <c r="L52" s="4">
        <v>84.786983409058877</v>
      </c>
      <c r="M52" s="4">
        <v>36.961672559640668</v>
      </c>
      <c r="N52" s="1064" t="str">
        <f>IF(       0&lt;0.01,"***",IF(       0&lt;0.05,"**",IF(       0&lt;0.1,"*","NS")))</f>
        <v>***</v>
      </c>
      <c r="P52" s="296" t="s">
        <v>3878</v>
      </c>
      <c r="Q52" s="4">
        <v>51.090476486582567</v>
      </c>
      <c r="R52" s="4">
        <v>84.786983409058877</v>
      </c>
      <c r="S52" s="4">
        <v>33.696506922476658</v>
      </c>
      <c r="T52" s="1065" t="str">
        <f>IF(       0&lt;0.01,"***",IF(       0&lt;0.05,"**",IF(       0&lt;0.1,"*","NS")))</f>
        <v>***</v>
      </c>
    </row>
    <row r="53" spans="1:20" x14ac:dyDescent="0.2">
      <c r="A53" s="296" t="s">
        <v>3656</v>
      </c>
      <c r="B53" s="4">
        <v>83.158177135613045</v>
      </c>
      <c r="C53" s="4">
        <v>85.9103001762752</v>
      </c>
      <c r="D53" s="4">
        <v>2.7521230406621395</v>
      </c>
      <c r="E53" s="1066" t="str">
        <f>IF(       0.216&lt;0.01,"***",IF(       0.216&lt;0.05,"**",IF(       0.216&lt;0.1,"*","NS")))</f>
        <v>NS</v>
      </c>
      <c r="G53" s="296" t="s">
        <v>3760</v>
      </c>
      <c r="H53" s="4">
        <v>83.158177135613045</v>
      </c>
      <c r="I53" s="4">
        <v>86.536450915573326</v>
      </c>
      <c r="J53" s="4">
        <v>3.378273779960276</v>
      </c>
      <c r="K53" s="1067" t="str">
        <f>IF(       0.136&lt;0.01,"***",IF(       0.136&lt;0.05,"**",IF(       0.136&lt;0.1,"*","NS")))</f>
        <v>NS</v>
      </c>
      <c r="L53" s="4">
        <v>84.18869468800159</v>
      </c>
      <c r="M53" s="4">
        <v>1.0305175523885435</v>
      </c>
      <c r="N53" s="1068" t="str">
        <f>IF(       0.804&lt;0.01,"***",IF(       0.804&lt;0.05,"**",IF(       0.804&lt;0.1,"*","NS")))</f>
        <v>NS</v>
      </c>
      <c r="P53" s="296" t="s">
        <v>3879</v>
      </c>
      <c r="Q53" s="4">
        <v>83.815984428648207</v>
      </c>
      <c r="R53" s="4">
        <v>84.18869468800159</v>
      </c>
      <c r="S53" s="4">
        <v>0.37271025935336222</v>
      </c>
      <c r="T53" s="1069" t="str">
        <f>IF(       0.927&lt;0.01,"***",IF(       0.927&lt;0.05,"**",IF(       0.927&lt;0.1,"*","NS")))</f>
        <v>NS</v>
      </c>
    </row>
    <row r="54" spans="1:20" x14ac:dyDescent="0.2">
      <c r="A54" s="296" t="s">
        <v>3657</v>
      </c>
      <c r="B54" s="4">
        <v>84.570547954467983</v>
      </c>
      <c r="C54" s="4">
        <v>91.165961969246254</v>
      </c>
      <c r="D54" s="4">
        <v>6.5954140147781724</v>
      </c>
      <c r="E54" s="1070" t="str">
        <f>IF(       0.009&lt;0.01,"***",IF(       0.009&lt;0.05,"**",IF(       0.009&lt;0.1,"*","NS")))</f>
        <v>***</v>
      </c>
      <c r="G54" s="296" t="s">
        <v>3761</v>
      </c>
      <c r="H54" s="4">
        <v>84.570547954467983</v>
      </c>
      <c r="I54" s="4">
        <v>90.364693222865952</v>
      </c>
      <c r="J54" s="4">
        <v>5.7941452683979637</v>
      </c>
      <c r="K54" s="1071" t="str">
        <f>IF(       0.03&lt;0.01,"***",IF(       0.03&lt;0.05,"**",IF(       0.03&lt;0.1,"*","NS")))</f>
        <v>**</v>
      </c>
      <c r="L54" s="4">
        <v>93.142972036930715</v>
      </c>
      <c r="M54" s="4">
        <v>8.5724240824627014</v>
      </c>
      <c r="N54" s="1072" t="str">
        <f>IF(       0.001&lt;0.01,"***",IF(       0.001&lt;0.05,"**",IF(       0.001&lt;0.1,"*","NS")))</f>
        <v>***</v>
      </c>
      <c r="P54" s="296" t="s">
        <v>3880</v>
      </c>
      <c r="Q54" s="4">
        <v>86.443247535714733</v>
      </c>
      <c r="R54" s="4">
        <v>93.142972036930715</v>
      </c>
      <c r="S54" s="4">
        <v>6.699724501215969</v>
      </c>
      <c r="T54" s="1073" t="str">
        <f>IF(       0.001&lt;0.01,"***",IF(       0.001&lt;0.05,"**",IF(       0.001&lt;0.1,"*","NS")))</f>
        <v>***</v>
      </c>
    </row>
    <row r="55" spans="1:20" x14ac:dyDescent="0.2">
      <c r="A55" s="296" t="s">
        <v>3658</v>
      </c>
      <c r="B55" s="4">
        <v>94.012045943165177</v>
      </c>
      <c r="C55" s="4">
        <v>94.610375435395767</v>
      </c>
      <c r="D55" s="4">
        <v>0.59832949223058907</v>
      </c>
      <c r="E55" s="1074" t="str">
        <f>IF(       0.717&lt;0.01,"***",IF(       0.717&lt;0.05,"**",IF(       0.717&lt;0.1,"*","NS")))</f>
        <v>NS</v>
      </c>
      <c r="G55" s="296" t="s">
        <v>3762</v>
      </c>
      <c r="H55" s="4">
        <v>94.012045943165177</v>
      </c>
      <c r="I55" s="4">
        <v>94.442225083570776</v>
      </c>
      <c r="J55" s="4">
        <v>0.43017914040560257</v>
      </c>
      <c r="K55" s="1075" t="str">
        <f>IF(       0.81&lt;0.01,"***",IF(       0.81&lt;0.05,"**",IF(       0.81&lt;0.1,"*","NS")))</f>
        <v>NS</v>
      </c>
      <c r="L55" s="4">
        <v>95.067466828396235</v>
      </c>
      <c r="M55" s="4">
        <v>1.0554208852310605</v>
      </c>
      <c r="N55" s="1076" t="str">
        <f>IF(       0.678&lt;0.01,"***",IF(       0.678&lt;0.05,"**",IF(       0.678&lt;0.1,"*","NS")))</f>
        <v>NS</v>
      </c>
      <c r="P55" s="296" t="s">
        <v>3881</v>
      </c>
      <c r="Q55" s="4">
        <v>94.11653520995479</v>
      </c>
      <c r="R55" s="4">
        <v>95.067466828396235</v>
      </c>
      <c r="S55" s="4">
        <v>0.95093161844143848</v>
      </c>
      <c r="T55" s="1077" t="str">
        <f>IF(       0.698&lt;0.01,"***",IF(       0.698&lt;0.05,"**",IF(       0.698&lt;0.1,"*","NS")))</f>
        <v>NS</v>
      </c>
    </row>
    <row r="56" spans="1:20" x14ac:dyDescent="0.2">
      <c r="A56" s="296" t="s">
        <v>5835</v>
      </c>
      <c r="B56" s="4">
        <v>73.5428599276147</v>
      </c>
      <c r="C56" s="4">
        <v>85.061282877413419</v>
      </c>
      <c r="D56" s="4">
        <v>11.518422949798286</v>
      </c>
      <c r="E56" s="1078" t="str">
        <f>IF(       0&lt;0.01,"***",IF(       0&lt;0.05,"**",IF(       0&lt;0.1,"*","NS")))</f>
        <v>***</v>
      </c>
      <c r="G56" s="296" t="s">
        <v>5835</v>
      </c>
      <c r="H56" s="4">
        <v>73.5428599276147</v>
      </c>
      <c r="I56" s="4">
        <v>83.865716472424452</v>
      </c>
      <c r="J56" s="4">
        <v>10.322856544809609</v>
      </c>
      <c r="K56" s="1079" t="str">
        <f>IF(       0&lt;0.01,"***",IF(       0&lt;0.05,"**",IF(       0&lt;0.1,"*","NS")))</f>
        <v>***</v>
      </c>
      <c r="L56" s="4">
        <v>88.800080078875283</v>
      </c>
      <c r="M56" s="4">
        <v>15.257220151260766</v>
      </c>
      <c r="N56" s="1080" t="str">
        <f>IF(       0&lt;0.01,"***",IF(       0&lt;0.05,"**",IF(       0&lt;0.1,"*","NS")))</f>
        <v>***</v>
      </c>
      <c r="P56" s="296" t="s">
        <v>5835</v>
      </c>
      <c r="Q56" s="4">
        <v>76.107480593285885</v>
      </c>
      <c r="R56" s="4">
        <v>88.800080078875283</v>
      </c>
      <c r="S56" s="4">
        <v>12.692599485588477</v>
      </c>
      <c r="T56" s="1081" t="str">
        <f>IF(       0&lt;0.01,"***",IF(       0&lt;0.05,"**",IF(       0&lt;0.1,"*","NS")))</f>
        <v>***</v>
      </c>
    </row>
    <row r="58" spans="1:20" x14ac:dyDescent="0.2">
      <c r="A58" s="296" t="s">
        <v>3659</v>
      </c>
      <c r="G58" s="296" t="s">
        <v>3763</v>
      </c>
      <c r="P58" s="296" t="s">
        <v>3882</v>
      </c>
    </row>
    <row r="59" spans="1:20" s="3" customFormat="1" x14ac:dyDescent="0.2">
      <c r="A59" s="5298" t="s">
        <v>3660</v>
      </c>
      <c r="B59" s="5299" t="s">
        <v>3661</v>
      </c>
      <c r="C59" s="5300" t="s">
        <v>3662</v>
      </c>
      <c r="D59" s="5301" t="s">
        <v>3663</v>
      </c>
      <c r="E59" s="5302" t="s">
        <v>3664</v>
      </c>
      <c r="G59" s="5303" t="s">
        <v>3764</v>
      </c>
      <c r="H59" s="5304" t="s">
        <v>3765</v>
      </c>
      <c r="I59" s="5305" t="s">
        <v>3766</v>
      </c>
      <c r="J59" s="5306" t="s">
        <v>3767</v>
      </c>
      <c r="K59" s="5307" t="s">
        <v>3768</v>
      </c>
      <c r="L59" s="5308" t="s">
        <v>3813</v>
      </c>
      <c r="M59" s="5309" t="s">
        <v>3814</v>
      </c>
      <c r="N59" s="5310" t="s">
        <v>3815</v>
      </c>
      <c r="P59" s="5311" t="s">
        <v>3883</v>
      </c>
      <c r="Q59" s="5312" t="s">
        <v>3884</v>
      </c>
      <c r="R59" s="5313" t="s">
        <v>3885</v>
      </c>
      <c r="S59" s="5314" t="s">
        <v>3886</v>
      </c>
      <c r="T59" s="5315" t="s">
        <v>3887</v>
      </c>
    </row>
    <row r="60" spans="1:20" x14ac:dyDescent="0.2">
      <c r="A60" s="296" t="s">
        <v>3665</v>
      </c>
      <c r="B60" s="4">
        <v>94.865834685963051</v>
      </c>
      <c r="C60" s="4">
        <v>96.388304512263915</v>
      </c>
      <c r="D60" s="4">
        <v>1.5224698263008818</v>
      </c>
      <c r="E60" s="1082" t="str">
        <f>IF(       0.121&lt;0.01,"***",IF(       0.121&lt;0.05,"**",IF(       0.121&lt;0.1,"*","NS")))</f>
        <v>NS</v>
      </c>
      <c r="G60" s="296" t="s">
        <v>3769</v>
      </c>
      <c r="H60" s="4">
        <v>94.865834685963051</v>
      </c>
      <c r="I60" s="4">
        <v>95.772474483706446</v>
      </c>
      <c r="J60" s="4">
        <v>0.90663979774340131</v>
      </c>
      <c r="K60" s="1083" t="str">
        <f>IF(       0.392&lt;0.01,"***",IF(       0.392&lt;0.05,"**",IF(       0.392&lt;0.1,"*","NS")))</f>
        <v>NS</v>
      </c>
      <c r="L60" s="4">
        <v>98.829044671773886</v>
      </c>
      <c r="M60" s="4">
        <v>3.9632099858108183</v>
      </c>
      <c r="N60" s="1084" t="str">
        <f>IF(       0.012&lt;0.01,"***",IF(       0.012&lt;0.05,"**",IF(       0.012&lt;0.1,"*","NS")))</f>
        <v>**</v>
      </c>
      <c r="P60" s="296" t="s">
        <v>3888</v>
      </c>
      <c r="Q60" s="4">
        <v>95.200996236248159</v>
      </c>
      <c r="R60" s="4">
        <v>98.829044671773886</v>
      </c>
      <c r="S60" s="4">
        <v>3.6280484355257414</v>
      </c>
      <c r="T60" s="1085" t="str">
        <f>IF(       0.016&lt;0.01,"***",IF(       0.016&lt;0.05,"**",IF(       0.016&lt;0.1,"*","NS")))</f>
        <v>**</v>
      </c>
    </row>
    <row r="61" spans="1:20" x14ac:dyDescent="0.2">
      <c r="A61" s="296" t="s">
        <v>3666</v>
      </c>
      <c r="B61" s="4">
        <v>89.017916307664152</v>
      </c>
      <c r="C61" s="4">
        <v>95.324248950189869</v>
      </c>
      <c r="D61" s="4">
        <v>6.3063326425257582</v>
      </c>
      <c r="E61" s="1086" t="str">
        <f>IF(       0&lt;0.01,"***",IF(       0&lt;0.05,"**",IF(       0&lt;0.1,"*","NS")))</f>
        <v>***</v>
      </c>
      <c r="G61" s="296" t="s">
        <v>3770</v>
      </c>
      <c r="H61" s="4">
        <v>89.017916307664152</v>
      </c>
      <c r="I61" s="4">
        <v>94.737209073360262</v>
      </c>
      <c r="J61" s="4">
        <v>5.7192927656960633</v>
      </c>
      <c r="K61" s="1087" t="str">
        <f>IF(       0&lt;0.01,"***",IF(       0&lt;0.05,"**",IF(       0&lt;0.1,"*","NS")))</f>
        <v>***</v>
      </c>
      <c r="L61" s="4">
        <v>96.852411420403058</v>
      </c>
      <c r="M61" s="4">
        <v>7.8344951127388525</v>
      </c>
      <c r="N61" s="1088" t="str">
        <f>IF(       0&lt;0.01,"***",IF(       0&lt;0.05,"**",IF(       0&lt;0.1,"*","NS")))</f>
        <v>***</v>
      </c>
      <c r="P61" s="296" t="s">
        <v>3889</v>
      </c>
      <c r="Q61" s="4">
        <v>90.781108931240368</v>
      </c>
      <c r="R61" s="4">
        <v>96.852411420403058</v>
      </c>
      <c r="S61" s="4">
        <v>6.0713024891628198</v>
      </c>
      <c r="T61" s="1089" t="str">
        <f>IF(       0.001&lt;0.01,"***",IF(       0.001&lt;0.05,"**",IF(       0.001&lt;0.1,"*","NS")))</f>
        <v>***</v>
      </c>
    </row>
    <row r="62" spans="1:20" x14ac:dyDescent="0.2">
      <c r="A62" s="296" t="s">
        <v>3667</v>
      </c>
      <c r="B62" s="4">
        <v>93.475383397013829</v>
      </c>
      <c r="C62" s="4">
        <v>95.704788254495341</v>
      </c>
      <c r="D62" s="4">
        <v>2.2294048574815375</v>
      </c>
      <c r="E62" s="1090" t="str">
        <f>IF(       0.093&lt;0.01,"***",IF(       0.093&lt;0.05,"**",IF(       0.093&lt;0.1,"*","NS")))</f>
        <v>*</v>
      </c>
      <c r="G62" s="296" t="s">
        <v>3771</v>
      </c>
      <c r="H62" s="4">
        <v>93.475383397013829</v>
      </c>
      <c r="I62" s="4">
        <v>94.980547950513127</v>
      </c>
      <c r="J62" s="4">
        <v>1.5051645534993128</v>
      </c>
      <c r="K62" s="1091" t="str">
        <f>IF(       0.26&lt;0.01,"***",IF(       0.26&lt;0.05,"**",IF(       0.26&lt;0.1,"*","NS")))</f>
        <v>NS</v>
      </c>
      <c r="L62" s="4">
        <v>97.859509516380925</v>
      </c>
      <c r="M62" s="4">
        <v>4.3841261193670658</v>
      </c>
      <c r="N62" s="1092" t="str">
        <f>IF(       0.006&lt;0.01,"***",IF(       0.006&lt;0.05,"**",IF(       0.006&lt;0.1,"*","NS")))</f>
        <v>***</v>
      </c>
      <c r="P62" s="296" t="s">
        <v>3890</v>
      </c>
      <c r="Q62" s="4">
        <v>93.859275294394507</v>
      </c>
      <c r="R62" s="4">
        <v>97.859509516380925</v>
      </c>
      <c r="S62" s="4">
        <v>4.000234221986454</v>
      </c>
      <c r="T62" s="1093" t="str">
        <f>IF(       0.004&lt;0.01,"***",IF(       0.004&lt;0.05,"**",IF(       0.004&lt;0.1,"*","NS")))</f>
        <v>***</v>
      </c>
    </row>
    <row r="63" spans="1:20" x14ac:dyDescent="0.2">
      <c r="A63" s="296" t="s">
        <v>3668</v>
      </c>
      <c r="B63" s="4">
        <v>91.682816609987157</v>
      </c>
      <c r="C63" s="4">
        <v>93.220776914832058</v>
      </c>
      <c r="D63" s="4">
        <v>1.5379603048448773</v>
      </c>
      <c r="E63" s="1094" t="str">
        <f>IF(       0.227&lt;0.01,"***",IF(       0.227&lt;0.05,"**",IF(       0.227&lt;0.1,"*","NS")))</f>
        <v>NS</v>
      </c>
      <c r="G63" s="296" t="s">
        <v>3772</v>
      </c>
      <c r="H63" s="4">
        <v>91.682816609987157</v>
      </c>
      <c r="I63" s="4">
        <v>92.665439356263008</v>
      </c>
      <c r="J63" s="4">
        <v>0.98262274627585433</v>
      </c>
      <c r="K63" s="1095" t="str">
        <f>IF(       0.467&lt;0.01,"***",IF(       0.467&lt;0.05,"**",IF(       0.467&lt;0.1,"*","NS")))</f>
        <v>NS</v>
      </c>
      <c r="L63" s="4">
        <v>95.217766129634938</v>
      </c>
      <c r="M63" s="4">
        <v>3.5349495196478475</v>
      </c>
      <c r="N63" s="1096" t="str">
        <f>IF(       0.048&lt;0.01,"***",IF(       0.048&lt;0.05,"**",IF(       0.048&lt;0.1,"*","NS")))</f>
        <v>**</v>
      </c>
      <c r="P63" s="296" t="s">
        <v>3891</v>
      </c>
      <c r="Q63" s="4">
        <v>91.980680334084354</v>
      </c>
      <c r="R63" s="4">
        <v>95.217766129634938</v>
      </c>
      <c r="S63" s="4">
        <v>3.237085795550533</v>
      </c>
      <c r="T63" s="1097" t="str">
        <f>IF(       0.053&lt;0.01,"***",IF(       0.053&lt;0.05,"**",IF(       0.053&lt;0.1,"*","NS")))</f>
        <v>*</v>
      </c>
    </row>
    <row r="64" spans="1:20" x14ac:dyDescent="0.2">
      <c r="A64" s="296" t="s">
        <v>3669</v>
      </c>
      <c r="B64" s="4">
        <v>92.333943993187248</v>
      </c>
      <c r="C64" s="4">
        <v>93.206498906744031</v>
      </c>
      <c r="D64" s="4">
        <v>0.87255491355679382</v>
      </c>
      <c r="E64" s="1098" t="str">
        <f>IF(       0.618&lt;0.01,"***",IF(       0.618&lt;0.05,"**",IF(       0.618&lt;0.1,"*","NS")))</f>
        <v>NS</v>
      </c>
      <c r="G64" s="296" t="s">
        <v>3773</v>
      </c>
      <c r="H64" s="4">
        <v>92.333943993187248</v>
      </c>
      <c r="I64" s="4">
        <v>92.537410718341135</v>
      </c>
      <c r="J64" s="4">
        <v>0.2034667251539107</v>
      </c>
      <c r="K64" s="1099" t="str">
        <f>IF(       0.913&lt;0.01,"***",IF(       0.913&lt;0.05,"**",IF(       0.913&lt;0.1,"*","NS")))</f>
        <v>NS</v>
      </c>
      <c r="L64" s="4">
        <v>96.338077848364435</v>
      </c>
      <c r="M64" s="4">
        <v>4.0041338551771819</v>
      </c>
      <c r="N64" s="1100" t="str">
        <f>IF(       0.045&lt;0.01,"***",IF(       0.045&lt;0.05,"**",IF(       0.045&lt;0.1,"*","NS")))</f>
        <v>**</v>
      </c>
      <c r="P64" s="296" t="s">
        <v>3892</v>
      </c>
      <c r="Q64" s="4">
        <v>92.390544201614105</v>
      </c>
      <c r="R64" s="4">
        <v>96.338077848364435</v>
      </c>
      <c r="S64" s="4">
        <v>3.9475336467503035</v>
      </c>
      <c r="T64" s="1101" t="str">
        <f>IF(       0.027&lt;0.01,"***",IF(       0.027&lt;0.05,"**",IF(       0.027&lt;0.1,"*","NS")))</f>
        <v>**</v>
      </c>
    </row>
    <row r="65" spans="1:20" x14ac:dyDescent="0.2">
      <c r="A65" s="296" t="s">
        <v>3670</v>
      </c>
      <c r="B65" s="4">
        <v>75.097218100420719</v>
      </c>
      <c r="C65" s="4">
        <v>85.948481146200436</v>
      </c>
      <c r="D65" s="4">
        <v>10.851263045779419</v>
      </c>
      <c r="E65" s="1102" t="str">
        <f>IF(       0&lt;0.01,"***",IF(       0&lt;0.05,"**",IF(       0&lt;0.1,"*","NS")))</f>
        <v>***</v>
      </c>
      <c r="G65" s="296" t="s">
        <v>3774</v>
      </c>
      <c r="H65" s="4">
        <v>75.097218100420719</v>
      </c>
      <c r="I65" s="4">
        <v>84.361798592750731</v>
      </c>
      <c r="J65" s="4">
        <v>9.264580492330369</v>
      </c>
      <c r="K65" s="1103" t="str">
        <f>IF(       0&lt;0.01,"***",IF(       0&lt;0.05,"**",IF(       0&lt;0.1,"*","NS")))</f>
        <v>***</v>
      </c>
      <c r="L65" s="4">
        <v>90.830007993856015</v>
      </c>
      <c r="M65" s="4">
        <v>15.732789893435555</v>
      </c>
      <c r="N65" s="1104" t="str">
        <f>IF(       0&lt;0.01,"***",IF(       0&lt;0.05,"**",IF(       0&lt;0.1,"*","NS")))</f>
        <v>***</v>
      </c>
      <c r="P65" s="296" t="s">
        <v>3893</v>
      </c>
      <c r="Q65" s="4">
        <v>77.806418315127473</v>
      </c>
      <c r="R65" s="4">
        <v>90.830007993856015</v>
      </c>
      <c r="S65" s="4">
        <v>13.023589678728817</v>
      </c>
      <c r="T65" s="1105" t="str">
        <f>IF(       0&lt;0.01,"***",IF(       0&lt;0.05,"**",IF(       0&lt;0.1,"*","NS")))</f>
        <v>***</v>
      </c>
    </row>
    <row r="66" spans="1:20" x14ac:dyDescent="0.2">
      <c r="A66" s="296" t="s">
        <v>12</v>
      </c>
      <c r="B66" s="4" t="s">
        <v>6067</v>
      </c>
      <c r="C66" s="4" t="s">
        <v>6067</v>
      </c>
      <c r="D66" s="4" t="s">
        <v>6067</v>
      </c>
      <c r="E66" s="4" t="s">
        <v>6067</v>
      </c>
      <c r="G66" s="296" t="s">
        <v>12</v>
      </c>
      <c r="H66" s="4" t="s">
        <v>6067</v>
      </c>
      <c r="I66" s="4" t="s">
        <v>6067</v>
      </c>
      <c r="J66" s="4" t="s">
        <v>6067</v>
      </c>
      <c r="K66" s="4" t="s">
        <v>6067</v>
      </c>
      <c r="L66" s="4" t="s">
        <v>6067</v>
      </c>
      <c r="M66" s="4" t="s">
        <v>6067</v>
      </c>
      <c r="N66" s="4" t="s">
        <v>6067</v>
      </c>
      <c r="P66" s="296" t="s">
        <v>12</v>
      </c>
      <c r="Q66" s="4" t="s">
        <v>6067</v>
      </c>
      <c r="R66" s="4" t="s">
        <v>6067</v>
      </c>
      <c r="S66" s="4" t="s">
        <v>6067</v>
      </c>
      <c r="T66" s="4" t="s">
        <v>6067</v>
      </c>
    </row>
    <row r="67" spans="1:20" x14ac:dyDescent="0.2">
      <c r="A67" s="296" t="s">
        <v>3671</v>
      </c>
      <c r="B67" s="4">
        <v>98.953509197696746</v>
      </c>
      <c r="C67" s="4">
        <v>98.852734595905758</v>
      </c>
      <c r="D67" s="4">
        <v>-0.10077460179099211</v>
      </c>
      <c r="E67" s="1106" t="str">
        <f>IF(       0.877&lt;0.01,"***",IF(       0.877&lt;0.05,"**",IF(       0.877&lt;0.1,"*","NS")))</f>
        <v>NS</v>
      </c>
      <c r="G67" s="296" t="s">
        <v>3775</v>
      </c>
      <c r="H67" s="4">
        <v>98.953509197696746</v>
      </c>
      <c r="I67" s="4">
        <v>98.478080872414665</v>
      </c>
      <c r="J67" s="4">
        <v>-0.47542832528208595</v>
      </c>
      <c r="K67" s="1107" t="str">
        <f>IF(       0.528&lt;0.01,"***",IF(       0.528&lt;0.05,"**",IF(       0.528&lt;0.1,"*","NS")))</f>
        <v>NS</v>
      </c>
      <c r="L67" s="4">
        <v>100</v>
      </c>
      <c r="M67" s="4">
        <v>1.0464908023032529</v>
      </c>
      <c r="N67" s="1108" t="str">
        <f>IF(       0.133&lt;0.01,"***",IF(       0.133&lt;0.05,"**",IF(       0.133&lt;0.1,"*","NS")))</f>
        <v>NS</v>
      </c>
      <c r="P67" s="296" t="s">
        <v>3894</v>
      </c>
      <c r="Q67" s="4">
        <v>98.867287850108809</v>
      </c>
      <c r="R67" s="4">
        <v>100</v>
      </c>
      <c r="S67" s="4">
        <v>1.1327121498911821</v>
      </c>
      <c r="T67" s="1109" t="str">
        <f>IF(       0.085&lt;0.01,"***",IF(       0.085&lt;0.05,"**",IF(       0.085&lt;0.1,"*","NS")))</f>
        <v>*</v>
      </c>
    </row>
    <row r="68" spans="1:20" x14ac:dyDescent="0.2">
      <c r="A68" s="296" t="s">
        <v>3672</v>
      </c>
      <c r="B68" s="4">
        <v>89.25116161433084</v>
      </c>
      <c r="C68" s="4">
        <v>95.732860313312187</v>
      </c>
      <c r="D68" s="4">
        <v>6.4816986989815026</v>
      </c>
      <c r="E68" s="1110" t="str">
        <f>IF(       0&lt;0.01,"***",IF(       0&lt;0.05,"**",IF(       0&lt;0.1,"*","NS")))</f>
        <v>***</v>
      </c>
      <c r="G68" s="296" t="s">
        <v>3776</v>
      </c>
      <c r="H68" s="4">
        <v>89.25116161433084</v>
      </c>
      <c r="I68" s="4">
        <v>95.174761179669488</v>
      </c>
      <c r="J68" s="4">
        <v>5.9235995653387281</v>
      </c>
      <c r="K68" s="1111" t="str">
        <f>IF(       0&lt;0.01,"***",IF(       0&lt;0.05,"**",IF(       0&lt;0.1,"*","NS")))</f>
        <v>***</v>
      </c>
      <c r="L68" s="4">
        <v>96.602183780882399</v>
      </c>
      <c r="M68" s="4">
        <v>7.3510221665517079</v>
      </c>
      <c r="N68" s="1112" t="str">
        <f>IF(       0&lt;0.01,"***",IF(       0&lt;0.05,"**",IF(       0&lt;0.1,"*","NS")))</f>
        <v>***</v>
      </c>
      <c r="P68" s="296" t="s">
        <v>3895</v>
      </c>
      <c r="Q68" s="4">
        <v>91.362412105924008</v>
      </c>
      <c r="R68" s="4">
        <v>96.602183780882399</v>
      </c>
      <c r="S68" s="4">
        <v>5.2397716749583436</v>
      </c>
      <c r="T68" s="1113" t="str">
        <f>IF(       0&lt;0.01,"***",IF(       0&lt;0.05,"**",IF(       0&lt;0.1,"*","NS")))</f>
        <v>***</v>
      </c>
    </row>
    <row r="69" spans="1:20" x14ac:dyDescent="0.2">
      <c r="A69" s="296" t="s">
        <v>3673</v>
      </c>
      <c r="B69" s="4">
        <v>95.432731826553322</v>
      </c>
      <c r="C69" s="4">
        <v>96.697296886214758</v>
      </c>
      <c r="D69" s="4">
        <v>1.2645650596614368</v>
      </c>
      <c r="E69" s="1114" t="str">
        <f>IF(       0.087&lt;0.01,"***",IF(       0.087&lt;0.05,"**",IF(       0.087&lt;0.1,"*","NS")))</f>
        <v>*</v>
      </c>
      <c r="G69" s="296" t="s">
        <v>3777</v>
      </c>
      <c r="H69" s="4">
        <v>95.432731826553322</v>
      </c>
      <c r="I69" s="4">
        <v>96.186123695814786</v>
      </c>
      <c r="J69" s="4">
        <v>0.75339186926147106</v>
      </c>
      <c r="K69" s="1115" t="str">
        <f>IF(       0.349&lt;0.01,"***",IF(       0.349&lt;0.05,"**",IF(       0.349&lt;0.1,"*","NS")))</f>
        <v>NS</v>
      </c>
      <c r="L69" s="4">
        <v>98.372355332511887</v>
      </c>
      <c r="M69" s="4">
        <v>2.9396235059585676</v>
      </c>
      <c r="N69" s="1116" t="str">
        <f>IF(       0.004&lt;0.01,"***",IF(       0.004&lt;0.05,"**",IF(       0.004&lt;0.1,"*","NS")))</f>
        <v>***</v>
      </c>
      <c r="P69" s="296" t="s">
        <v>3896</v>
      </c>
      <c r="Q69" s="4">
        <v>95.723890645456024</v>
      </c>
      <c r="R69" s="4">
        <v>98.372355332511887</v>
      </c>
      <c r="S69" s="4">
        <v>2.6484646870558906</v>
      </c>
      <c r="T69" s="1117" t="str">
        <f>IF(       0.007&lt;0.01,"***",IF(       0.007&lt;0.05,"**",IF(       0.007&lt;0.1,"*","NS")))</f>
        <v>***</v>
      </c>
    </row>
    <row r="70" spans="1:20" x14ac:dyDescent="0.2">
      <c r="A70" s="296" t="s">
        <v>3674</v>
      </c>
      <c r="B70" s="4">
        <v>79.196832332579334</v>
      </c>
      <c r="C70" s="4">
        <v>86.359817379545873</v>
      </c>
      <c r="D70" s="4">
        <v>7.1629850469666003</v>
      </c>
      <c r="E70" s="1118" t="str">
        <f>IF(       0&lt;0.01,"***",IF(       0&lt;0.05,"**",IF(       0&lt;0.1,"*","NS")))</f>
        <v>***</v>
      </c>
      <c r="G70" s="296" t="s">
        <v>3778</v>
      </c>
      <c r="H70" s="4">
        <v>79.196832332579334</v>
      </c>
      <c r="I70" s="4">
        <v>86.896975262734273</v>
      </c>
      <c r="J70" s="4">
        <v>7.7001429301550326</v>
      </c>
      <c r="K70" s="1119" t="str">
        <f>IF(       0&lt;0.01,"***",IF(       0&lt;0.05,"**",IF(       0&lt;0.1,"*","NS")))</f>
        <v>***</v>
      </c>
      <c r="L70" s="4">
        <v>84.902147784246509</v>
      </c>
      <c r="M70" s="4">
        <v>5.7053154516671611</v>
      </c>
      <c r="N70" s="1120" t="str">
        <f>IF(       0.162&lt;0.01,"***",IF(       0.162&lt;0.05,"**",IF(       0.162&lt;0.1,"*","NS")))</f>
        <v>NS</v>
      </c>
      <c r="P70" s="296" t="s">
        <v>3897</v>
      </c>
      <c r="Q70" s="4">
        <v>81.211668733721808</v>
      </c>
      <c r="R70" s="4">
        <v>84.902147784246509</v>
      </c>
      <c r="S70" s="4">
        <v>3.6904790505247478</v>
      </c>
      <c r="T70" s="1121" t="str">
        <f>IF(       0.353&lt;0.01,"***",IF(       0.353&lt;0.05,"**",IF(       0.353&lt;0.1,"*","NS")))</f>
        <v>NS</v>
      </c>
    </row>
    <row r="71" spans="1:20" x14ac:dyDescent="0.2">
      <c r="A71" s="296" t="s">
        <v>3675</v>
      </c>
      <c r="B71" s="4">
        <v>61.378513073579413</v>
      </c>
      <c r="C71" s="4">
        <v>82.068004192522267</v>
      </c>
      <c r="D71" s="4">
        <v>20.689491118943483</v>
      </c>
      <c r="E71" s="1122" t="str">
        <f>IF(       0&lt;0.01,"***",IF(       0&lt;0.05,"**",IF(       0&lt;0.1,"*","NS")))</f>
        <v>***</v>
      </c>
      <c r="G71" s="296" t="s">
        <v>3779</v>
      </c>
      <c r="H71" s="4">
        <v>61.378513073579413</v>
      </c>
      <c r="I71" s="4">
        <v>79.277229920074447</v>
      </c>
      <c r="J71" s="4">
        <v>17.898716846494629</v>
      </c>
      <c r="K71" s="1123" t="str">
        <f>IF(       0&lt;0.01,"***",IF(       0&lt;0.05,"**",IF(       0&lt;0.1,"*","NS")))</f>
        <v>***</v>
      </c>
      <c r="L71" s="4">
        <v>88.977314025134447</v>
      </c>
      <c r="M71" s="4">
        <v>27.598800951555145</v>
      </c>
      <c r="N71" s="1124" t="str">
        <f>IF(       0&lt;0.01,"***",IF(       0&lt;0.05,"**",IF(       0&lt;0.1,"*","NS")))</f>
        <v>***</v>
      </c>
      <c r="P71" s="296" t="s">
        <v>3898</v>
      </c>
      <c r="Q71" s="4">
        <v>65.789075949090886</v>
      </c>
      <c r="R71" s="4">
        <v>88.977314025134447</v>
      </c>
      <c r="S71" s="4">
        <v>23.188238076043532</v>
      </c>
      <c r="T71" s="1125" t="str">
        <f>IF(       0&lt;0.01,"***",IF(       0&lt;0.05,"**",IF(       0&lt;0.1,"*","NS")))</f>
        <v>***</v>
      </c>
    </row>
    <row r="72" spans="1:20" x14ac:dyDescent="0.2">
      <c r="A72" s="296" t="s">
        <v>3676</v>
      </c>
      <c r="B72" s="4">
        <v>90.139865565284438</v>
      </c>
      <c r="C72" s="4">
        <v>91.964127020461902</v>
      </c>
      <c r="D72" s="4">
        <v>1.8242614551774807</v>
      </c>
      <c r="E72" s="1126" t="str">
        <f>IF(       0.309&lt;0.01,"***",IF(       0.309&lt;0.05,"**",IF(       0.309&lt;0.1,"*","NS")))</f>
        <v>NS</v>
      </c>
      <c r="G72" s="296" t="s">
        <v>3780</v>
      </c>
      <c r="H72" s="4">
        <v>90.139865565284438</v>
      </c>
      <c r="I72" s="4">
        <v>92.091312776273412</v>
      </c>
      <c r="J72" s="4">
        <v>1.9514472109889685</v>
      </c>
      <c r="K72" s="1127" t="str">
        <f>IF(       0.264&lt;0.01,"***",IF(       0.264&lt;0.05,"**",IF(       0.264&lt;0.1,"*","NS")))</f>
        <v>NS</v>
      </c>
      <c r="L72" s="4">
        <v>91.580480752578538</v>
      </c>
      <c r="M72" s="4">
        <v>1.4406151872940882</v>
      </c>
      <c r="N72" s="1128" t="str">
        <f>IF(       0.629&lt;0.01,"***",IF(       0.629&lt;0.05,"**",IF(       0.629&lt;0.1,"*","NS")))</f>
        <v>NS</v>
      </c>
      <c r="P72" s="296" t="s">
        <v>3899</v>
      </c>
      <c r="Q72" s="4">
        <v>90.603521179595177</v>
      </c>
      <c r="R72" s="4">
        <v>91.580480752578538</v>
      </c>
      <c r="S72" s="4">
        <v>0.97695957298336833</v>
      </c>
      <c r="T72" s="1129" t="str">
        <f>IF(       0.728&lt;0.01,"***",IF(       0.728&lt;0.05,"**",IF(       0.728&lt;0.1,"*","NS")))</f>
        <v>NS</v>
      </c>
    </row>
    <row r="73" spans="1:20" x14ac:dyDescent="0.2">
      <c r="A73" s="296" t="s">
        <v>3677</v>
      </c>
      <c r="B73" s="4">
        <v>89.320043543732453</v>
      </c>
      <c r="C73" s="4">
        <v>94.462709526345634</v>
      </c>
      <c r="D73" s="4">
        <v>5.1426659826132646</v>
      </c>
      <c r="E73" s="1130" t="str">
        <f>IF(       0.002&lt;0.01,"***",IF(       0.002&lt;0.05,"**",IF(       0.002&lt;0.1,"*","NS")))</f>
        <v>***</v>
      </c>
      <c r="G73" s="296" t="s">
        <v>3781</v>
      </c>
      <c r="H73" s="4">
        <v>89.320043543732453</v>
      </c>
      <c r="I73" s="4">
        <v>92.83142897822141</v>
      </c>
      <c r="J73" s="4">
        <v>3.511385434488985</v>
      </c>
      <c r="K73" s="1131" t="str">
        <f>IF(       0.038&lt;0.01,"***",IF(       0.038&lt;0.05,"**",IF(       0.038&lt;0.1,"*","NS")))</f>
        <v>**</v>
      </c>
      <c r="L73" s="4">
        <v>98.130304175738672</v>
      </c>
      <c r="M73" s="4">
        <v>8.8102606320062637</v>
      </c>
      <c r="N73" s="1132" t="str">
        <f>IF(       0&lt;0.01,"***",IF(       0&lt;0.05,"**",IF(       0&lt;0.1,"*","NS")))</f>
        <v>***</v>
      </c>
      <c r="P73" s="296" t="s">
        <v>3900</v>
      </c>
      <c r="Q73" s="4">
        <v>90.513429743594827</v>
      </c>
      <c r="R73" s="4">
        <v>98.130304175738672</v>
      </c>
      <c r="S73" s="4">
        <v>7.616874432143609</v>
      </c>
      <c r="T73" s="1133" t="str">
        <f>IF(       0&lt;0.01,"***",IF(       0&lt;0.05,"**",IF(       0&lt;0.1,"*","NS")))</f>
        <v>***</v>
      </c>
    </row>
    <row r="74" spans="1:20" x14ac:dyDescent="0.2">
      <c r="A74" s="296" t="s">
        <v>3678</v>
      </c>
      <c r="B74" s="4">
        <v>95.713002412515905</v>
      </c>
      <c r="C74" s="4">
        <v>97.484407498583678</v>
      </c>
      <c r="D74" s="4">
        <v>1.7714050860677772</v>
      </c>
      <c r="E74" s="1134" t="str">
        <f>IF(       0.16&lt;0.01,"***",IF(       0.16&lt;0.05,"**",IF(       0.16&lt;0.1,"*","NS")))</f>
        <v>NS</v>
      </c>
      <c r="G74" s="296" t="s">
        <v>3782</v>
      </c>
      <c r="H74" s="4">
        <v>95.713002412515905</v>
      </c>
      <c r="I74" s="4">
        <v>97.510582665373462</v>
      </c>
      <c r="J74" s="4">
        <v>1.7975802528575533</v>
      </c>
      <c r="K74" s="1135" t="str">
        <f>IF(       0.146&lt;0.01,"***",IF(       0.146&lt;0.05,"**",IF(       0.146&lt;0.1,"*","NS")))</f>
        <v>NS</v>
      </c>
      <c r="L74" s="4">
        <v>97.397822506611348</v>
      </c>
      <c r="M74" s="4">
        <v>1.6848200940954194</v>
      </c>
      <c r="N74" s="1136" t="str">
        <f>IF(       0.256&lt;0.01,"***",IF(       0.256&lt;0.05,"**",IF(       0.256&lt;0.1,"*","NS")))</f>
        <v>NS</v>
      </c>
      <c r="P74" s="296" t="s">
        <v>3901</v>
      </c>
      <c r="Q74" s="4">
        <v>96.202148805601439</v>
      </c>
      <c r="R74" s="4">
        <v>97.397822506611348</v>
      </c>
      <c r="S74" s="4">
        <v>1.195673701009905</v>
      </c>
      <c r="T74" s="1137" t="str">
        <f>IF(       0.328&lt;0.01,"***",IF(       0.328&lt;0.05,"**",IF(       0.328&lt;0.1,"*","NS")))</f>
        <v>NS</v>
      </c>
    </row>
    <row r="75" spans="1:20" x14ac:dyDescent="0.2">
      <c r="A75" s="296" t="s">
        <v>5835</v>
      </c>
      <c r="B75" s="4">
        <v>85.572345410893078</v>
      </c>
      <c r="C75" s="4">
        <v>92.123971369684696</v>
      </c>
      <c r="D75" s="4">
        <v>6.5516259587922212</v>
      </c>
      <c r="E75" s="1138" t="str">
        <f>IF(       0&lt;0.01,"***",IF(       0&lt;0.05,"**",IF(       0&lt;0.1,"*","NS")))</f>
        <v>***</v>
      </c>
      <c r="G75" s="296" t="s">
        <v>5835</v>
      </c>
      <c r="H75" s="4">
        <v>85.572345410893078</v>
      </c>
      <c r="I75" s="4">
        <v>91.372890456681006</v>
      </c>
      <c r="J75" s="4">
        <v>5.800545045787624</v>
      </c>
      <c r="K75" s="1139" t="str">
        <f>IF(       0&lt;0.01,"***",IF(       0&lt;0.05,"**",IF(       0&lt;0.1,"*","NS")))</f>
        <v>***</v>
      </c>
      <c r="L75" s="4">
        <v>94.268636707176299</v>
      </c>
      <c r="M75" s="4">
        <v>8.6962912962840075</v>
      </c>
      <c r="N75" s="1140" t="str">
        <f>IF(       0&lt;0.01,"***",IF(       0&lt;0.05,"**",IF(       0&lt;0.1,"*","NS")))</f>
        <v>***</v>
      </c>
      <c r="P75" s="296" t="s">
        <v>5835</v>
      </c>
      <c r="Q75" s="4">
        <v>87.262211634894911</v>
      </c>
      <c r="R75" s="4">
        <v>94.268636707176299</v>
      </c>
      <c r="S75" s="4">
        <v>7.0064250722811039</v>
      </c>
      <c r="T75" s="1141" t="str">
        <f>IF(       0&lt;0.01,"***",IF(       0&lt;0.05,"**",IF(       0&lt;0.1,"*","NS")))</f>
        <v>***</v>
      </c>
    </row>
    <row r="77" spans="1:20" x14ac:dyDescent="0.2">
      <c r="A77" s="296" t="s">
        <v>3679</v>
      </c>
      <c r="G77" s="296" t="s">
        <v>3783</v>
      </c>
      <c r="P77" s="296" t="s">
        <v>3902</v>
      </c>
    </row>
    <row r="78" spans="1:20" s="3" customFormat="1" x14ac:dyDescent="0.2">
      <c r="A78" s="5316" t="s">
        <v>3680</v>
      </c>
      <c r="B78" s="5317" t="s">
        <v>3681</v>
      </c>
      <c r="C78" s="5318" t="s">
        <v>3682</v>
      </c>
      <c r="D78" s="5319" t="s">
        <v>3683</v>
      </c>
      <c r="E78" s="5320" t="s">
        <v>3684</v>
      </c>
      <c r="G78" s="5321" t="s">
        <v>3784</v>
      </c>
      <c r="H78" s="5322" t="s">
        <v>3785</v>
      </c>
      <c r="I78" s="5323" t="s">
        <v>3786</v>
      </c>
      <c r="J78" s="5324" t="s">
        <v>3787</v>
      </c>
      <c r="K78" s="5325" t="s">
        <v>3788</v>
      </c>
      <c r="L78" s="5326" t="s">
        <v>3816</v>
      </c>
      <c r="M78" s="5327" t="s">
        <v>3817</v>
      </c>
      <c r="N78" s="5328" t="s">
        <v>3818</v>
      </c>
      <c r="P78" s="5329" t="s">
        <v>3903</v>
      </c>
      <c r="Q78" s="5330" t="s">
        <v>3904</v>
      </c>
      <c r="R78" s="5331" t="s">
        <v>3905</v>
      </c>
      <c r="S78" s="5332" t="s">
        <v>3906</v>
      </c>
      <c r="T78" s="5333" t="s">
        <v>3907</v>
      </c>
    </row>
    <row r="79" spans="1:20" x14ac:dyDescent="0.2">
      <c r="A79" s="296" t="s">
        <v>3685</v>
      </c>
      <c r="B79" s="4" t="s">
        <v>6067</v>
      </c>
      <c r="C79" s="4" t="s">
        <v>6067</v>
      </c>
      <c r="D79" s="4" t="s">
        <v>6067</v>
      </c>
      <c r="E79" s="4" t="s">
        <v>6067</v>
      </c>
      <c r="G79" s="296" t="s">
        <v>3789</v>
      </c>
      <c r="H79" s="4" t="s">
        <v>6067</v>
      </c>
      <c r="I79" s="4" t="s">
        <v>6067</v>
      </c>
      <c r="J79" s="4" t="s">
        <v>6067</v>
      </c>
      <c r="K79" s="4" t="s">
        <v>6067</v>
      </c>
      <c r="L79" s="4" t="s">
        <v>6067</v>
      </c>
      <c r="M79" s="4" t="s">
        <v>6067</v>
      </c>
      <c r="N79" s="4" t="s">
        <v>6067</v>
      </c>
      <c r="P79" s="296" t="s">
        <v>3908</v>
      </c>
      <c r="Q79" s="4" t="s">
        <v>6067</v>
      </c>
      <c r="R79" s="4" t="s">
        <v>6067</v>
      </c>
      <c r="S79" s="4" t="s">
        <v>6067</v>
      </c>
      <c r="T79" s="4" t="s">
        <v>6067</v>
      </c>
    </row>
    <row r="80" spans="1:20" x14ac:dyDescent="0.2">
      <c r="A80" s="296" t="s">
        <v>3686</v>
      </c>
      <c r="B80" s="4">
        <v>70.270723284353181</v>
      </c>
      <c r="C80" s="4">
        <v>85.673966454863944</v>
      </c>
      <c r="D80" s="4">
        <v>15.403243170510757</v>
      </c>
      <c r="E80" s="1142" t="str">
        <f>IF(       0.021&lt;0.01,"***",IF(       0.021&lt;0.05,"**",IF(       0.021&lt;0.1,"*","NS")))</f>
        <v>**</v>
      </c>
      <c r="G80" s="296" t="s">
        <v>3790</v>
      </c>
      <c r="H80" s="4">
        <v>70.270723284353181</v>
      </c>
      <c r="I80" s="4">
        <v>84.631210184999361</v>
      </c>
      <c r="J80" s="4">
        <v>14.36048690064608</v>
      </c>
      <c r="K80" s="1143" t="str">
        <f>IF(       0.024&lt;0.01,"***",IF(       0.024&lt;0.05,"**",IF(       0.024&lt;0.1,"*","NS")))</f>
        <v>**</v>
      </c>
      <c r="L80" s="4">
        <v>88.475625455889642</v>
      </c>
      <c r="M80" s="4">
        <v>18.204902171536389</v>
      </c>
      <c r="N80" s="1144" t="str">
        <f>IF(       0.028&lt;0.01,"***",IF(       0.028&lt;0.05,"**",IF(       0.028&lt;0.1,"*","NS")))</f>
        <v>**</v>
      </c>
      <c r="P80" s="296" t="s">
        <v>3909</v>
      </c>
      <c r="Q80" s="4">
        <v>73.631411906616748</v>
      </c>
      <c r="R80" s="4">
        <v>88.475625455889642</v>
      </c>
      <c r="S80" s="4">
        <v>14.844213549272943</v>
      </c>
      <c r="T80" s="1145" t="str">
        <f>IF(       0.042&lt;0.01,"***",IF(       0.042&lt;0.05,"**",IF(       0.042&lt;0.1,"*","NS")))</f>
        <v>**</v>
      </c>
    </row>
    <row r="81" spans="1:20" x14ac:dyDescent="0.2">
      <c r="A81" s="296" t="s">
        <v>3687</v>
      </c>
      <c r="B81" s="4" t="s">
        <v>6067</v>
      </c>
      <c r="C81" s="4" t="s">
        <v>6067</v>
      </c>
      <c r="D81" s="4" t="s">
        <v>6067</v>
      </c>
      <c r="E81" s="4" t="s">
        <v>6067</v>
      </c>
      <c r="G81" s="296" t="s">
        <v>3791</v>
      </c>
      <c r="H81" s="4" t="s">
        <v>6067</v>
      </c>
      <c r="I81" s="4" t="s">
        <v>6067</v>
      </c>
      <c r="J81" s="4" t="s">
        <v>6067</v>
      </c>
      <c r="K81" s="4" t="s">
        <v>6067</v>
      </c>
      <c r="L81" s="4" t="s">
        <v>6067</v>
      </c>
      <c r="M81" s="4" t="s">
        <v>6067</v>
      </c>
      <c r="N81" s="4" t="s">
        <v>6067</v>
      </c>
      <c r="P81" s="296" t="s">
        <v>3910</v>
      </c>
      <c r="Q81" s="4" t="s">
        <v>6067</v>
      </c>
      <c r="R81" s="4" t="s">
        <v>6067</v>
      </c>
      <c r="S81" s="4" t="s">
        <v>6067</v>
      </c>
      <c r="T81" s="4" t="s">
        <v>6067</v>
      </c>
    </row>
    <row r="82" spans="1:20" x14ac:dyDescent="0.2">
      <c r="A82" s="296" t="s">
        <v>3688</v>
      </c>
      <c r="B82" s="4" t="s">
        <v>6067</v>
      </c>
      <c r="C82" s="4" t="s">
        <v>6067</v>
      </c>
      <c r="D82" s="4" t="s">
        <v>6067</v>
      </c>
      <c r="E82" s="4" t="s">
        <v>6067</v>
      </c>
      <c r="G82" s="296" t="s">
        <v>3792</v>
      </c>
      <c r="H82" s="4" t="s">
        <v>6067</v>
      </c>
      <c r="I82" s="4" t="s">
        <v>6067</v>
      </c>
      <c r="J82" s="4" t="s">
        <v>6067</v>
      </c>
      <c r="K82" s="4" t="s">
        <v>6067</v>
      </c>
      <c r="L82" s="4" t="s">
        <v>6067</v>
      </c>
      <c r="M82" s="4" t="s">
        <v>6067</v>
      </c>
      <c r="N82" s="4" t="s">
        <v>6067</v>
      </c>
      <c r="P82" s="296" t="s">
        <v>3911</v>
      </c>
      <c r="Q82" s="4" t="s">
        <v>6067</v>
      </c>
      <c r="R82" s="4" t="s">
        <v>6067</v>
      </c>
      <c r="S82" s="4" t="s">
        <v>6067</v>
      </c>
      <c r="T82" s="4" t="s">
        <v>6067</v>
      </c>
    </row>
    <row r="83" spans="1:20" x14ac:dyDescent="0.2">
      <c r="A83" s="296" t="s">
        <v>3689</v>
      </c>
      <c r="B83" s="4" t="s">
        <v>6067</v>
      </c>
      <c r="C83" s="4" t="s">
        <v>6067</v>
      </c>
      <c r="D83" s="4" t="s">
        <v>6067</v>
      </c>
      <c r="E83" s="4" t="s">
        <v>6067</v>
      </c>
      <c r="G83" s="296" t="s">
        <v>3793</v>
      </c>
      <c r="H83" s="4" t="s">
        <v>6067</v>
      </c>
      <c r="I83" s="4" t="s">
        <v>6067</v>
      </c>
      <c r="J83" s="4" t="s">
        <v>6067</v>
      </c>
      <c r="K83" s="4" t="s">
        <v>6067</v>
      </c>
      <c r="L83" s="4" t="s">
        <v>6067</v>
      </c>
      <c r="M83" s="4" t="s">
        <v>6067</v>
      </c>
      <c r="N83" s="4" t="s">
        <v>6067</v>
      </c>
      <c r="P83" s="296" t="s">
        <v>3912</v>
      </c>
      <c r="Q83" s="4" t="s">
        <v>6067</v>
      </c>
      <c r="R83" s="4" t="s">
        <v>6067</v>
      </c>
      <c r="S83" s="4" t="s">
        <v>6067</v>
      </c>
      <c r="T83" s="4" t="s">
        <v>6067</v>
      </c>
    </row>
    <row r="84" spans="1:20" x14ac:dyDescent="0.2">
      <c r="A84" s="296" t="s">
        <v>3690</v>
      </c>
      <c r="B84" s="4" t="s">
        <v>6067</v>
      </c>
      <c r="C84" s="4" t="s">
        <v>6067</v>
      </c>
      <c r="D84" s="4" t="s">
        <v>6067</v>
      </c>
      <c r="E84" s="4" t="s">
        <v>6067</v>
      </c>
      <c r="G84" s="296" t="s">
        <v>3794</v>
      </c>
      <c r="H84" s="4" t="s">
        <v>6067</v>
      </c>
      <c r="I84" s="4" t="s">
        <v>6067</v>
      </c>
      <c r="J84" s="4" t="s">
        <v>6067</v>
      </c>
      <c r="K84" s="4" t="s">
        <v>6067</v>
      </c>
      <c r="L84" s="4" t="s">
        <v>6067</v>
      </c>
      <c r="M84" s="4" t="s">
        <v>6067</v>
      </c>
      <c r="N84" s="4" t="s">
        <v>6067</v>
      </c>
      <c r="P84" s="296" t="s">
        <v>3913</v>
      </c>
      <c r="Q84" s="4" t="s">
        <v>6067</v>
      </c>
      <c r="R84" s="4" t="s">
        <v>6067</v>
      </c>
      <c r="S84" s="4" t="s">
        <v>6067</v>
      </c>
      <c r="T84" s="4" t="s">
        <v>6067</v>
      </c>
    </row>
    <row r="85" spans="1:20" x14ac:dyDescent="0.2">
      <c r="A85" s="296" t="s">
        <v>3691</v>
      </c>
      <c r="B85" s="4">
        <v>23.889500431081789</v>
      </c>
      <c r="C85" s="4">
        <v>37.800651645362251</v>
      </c>
      <c r="D85" s="4">
        <v>13.911151214280213</v>
      </c>
      <c r="E85" s="1146" t="str">
        <f>IF(       0&lt;0.01,"***",IF(       0&lt;0.05,"**",IF(       0&lt;0.1,"*","NS")))</f>
        <v>***</v>
      </c>
      <c r="G85" s="296" t="s">
        <v>3795</v>
      </c>
      <c r="H85" s="4">
        <v>23.889500431081789</v>
      </c>
      <c r="I85" s="4">
        <v>36.481745178216663</v>
      </c>
      <c r="J85" s="4">
        <v>12.592244747134941</v>
      </c>
      <c r="K85" s="1147" t="str">
        <f>IF(       0&lt;0.01,"***",IF(       0&lt;0.05,"**",IF(       0&lt;0.1,"*","NS")))</f>
        <v>***</v>
      </c>
      <c r="L85" s="4">
        <v>43.910135101803483</v>
      </c>
      <c r="M85" s="4">
        <v>20.020634670722011</v>
      </c>
      <c r="N85" s="1148" t="str">
        <f>IF(       0.001&lt;0.01,"***",IF(       0.001&lt;0.05,"**",IF(       0.001&lt;0.1,"*","NS")))</f>
        <v>***</v>
      </c>
      <c r="P85" s="296" t="s">
        <v>3914</v>
      </c>
      <c r="Q85" s="4">
        <v>25.756593778025941</v>
      </c>
      <c r="R85" s="4">
        <v>43.910135101803483</v>
      </c>
      <c r="S85" s="4">
        <v>18.153541323778057</v>
      </c>
      <c r="T85" s="1149" t="str">
        <f>IF(       0.003&lt;0.01,"***",IF(       0.003&lt;0.05,"**",IF(       0.003&lt;0.1,"*","NS")))</f>
        <v>***</v>
      </c>
    </row>
    <row r="86" spans="1:20" x14ac:dyDescent="0.2">
      <c r="A86" s="296" t="s">
        <v>3692</v>
      </c>
      <c r="B86" s="4" t="s">
        <v>6067</v>
      </c>
      <c r="C86" s="4" t="s">
        <v>6067</v>
      </c>
      <c r="D86" s="4" t="s">
        <v>6067</v>
      </c>
      <c r="E86" s="4" t="s">
        <v>6067</v>
      </c>
      <c r="G86" s="296" t="s">
        <v>3796</v>
      </c>
      <c r="H86" s="4" t="s">
        <v>6067</v>
      </c>
      <c r="I86" s="4" t="s">
        <v>6067</v>
      </c>
      <c r="J86" s="4" t="s">
        <v>6067</v>
      </c>
      <c r="K86" s="4" t="s">
        <v>6067</v>
      </c>
      <c r="L86" s="4" t="s">
        <v>6067</v>
      </c>
      <c r="M86" s="4" t="s">
        <v>6067</v>
      </c>
      <c r="N86" s="4" t="s">
        <v>6067</v>
      </c>
      <c r="P86" s="296" t="s">
        <v>3915</v>
      </c>
      <c r="Q86" s="4" t="s">
        <v>6067</v>
      </c>
      <c r="R86" s="4" t="s">
        <v>6067</v>
      </c>
      <c r="S86" s="4" t="s">
        <v>6067</v>
      </c>
      <c r="T86" s="4" t="s">
        <v>6067</v>
      </c>
    </row>
    <row r="87" spans="1:20" x14ac:dyDescent="0.2">
      <c r="A87" s="296" t="s">
        <v>3693</v>
      </c>
      <c r="B87" s="4" t="s">
        <v>6067</v>
      </c>
      <c r="C87" s="4" t="s">
        <v>6067</v>
      </c>
      <c r="D87" s="4" t="s">
        <v>6067</v>
      </c>
      <c r="E87" s="4" t="s">
        <v>6067</v>
      </c>
      <c r="G87" s="296" t="s">
        <v>3797</v>
      </c>
      <c r="H87" s="4" t="s">
        <v>6067</v>
      </c>
      <c r="I87" s="4" t="s">
        <v>6067</v>
      </c>
      <c r="J87" s="4" t="s">
        <v>6067</v>
      </c>
      <c r="K87" s="4" t="s">
        <v>6067</v>
      </c>
      <c r="L87" s="4" t="s">
        <v>6067</v>
      </c>
      <c r="M87" s="4" t="s">
        <v>6067</v>
      </c>
      <c r="N87" s="4" t="s">
        <v>6067</v>
      </c>
      <c r="P87" s="296" t="s">
        <v>3916</v>
      </c>
      <c r="Q87" s="4" t="s">
        <v>6067</v>
      </c>
      <c r="R87" s="4" t="s">
        <v>6067</v>
      </c>
      <c r="S87" s="4" t="s">
        <v>6067</v>
      </c>
      <c r="T87" s="4" t="s">
        <v>6067</v>
      </c>
    </row>
    <row r="88" spans="1:20" x14ac:dyDescent="0.2">
      <c r="A88" s="296" t="s">
        <v>3694</v>
      </c>
      <c r="B88" s="4" t="s">
        <v>6067</v>
      </c>
      <c r="C88" s="4" t="s">
        <v>6067</v>
      </c>
      <c r="D88" s="4" t="s">
        <v>6067</v>
      </c>
      <c r="E88" s="4" t="s">
        <v>6067</v>
      </c>
      <c r="G88" s="296" t="s">
        <v>3798</v>
      </c>
      <c r="H88" s="4" t="s">
        <v>6067</v>
      </c>
      <c r="I88" s="4" t="s">
        <v>6067</v>
      </c>
      <c r="J88" s="4" t="s">
        <v>6067</v>
      </c>
      <c r="K88" s="4" t="s">
        <v>6067</v>
      </c>
      <c r="L88" s="4" t="s">
        <v>6067</v>
      </c>
      <c r="M88" s="4" t="s">
        <v>6067</v>
      </c>
      <c r="N88" s="4" t="s">
        <v>6067</v>
      </c>
      <c r="P88" s="296" t="s">
        <v>3917</v>
      </c>
      <c r="Q88" s="4" t="s">
        <v>6067</v>
      </c>
      <c r="R88" s="4" t="s">
        <v>6067</v>
      </c>
      <c r="S88" s="4" t="s">
        <v>6067</v>
      </c>
      <c r="T88" s="4" t="s">
        <v>6067</v>
      </c>
    </row>
    <row r="89" spans="1:20" x14ac:dyDescent="0.2">
      <c r="A89" s="296" t="s">
        <v>3695</v>
      </c>
      <c r="B89" s="4">
        <v>41.16873745935461</v>
      </c>
      <c r="C89" s="4">
        <v>62.578925197872103</v>
      </c>
      <c r="D89" s="4">
        <v>21.410187738517397</v>
      </c>
      <c r="E89" s="1150" t="str">
        <f>IF(       0.002&lt;0.01,"***",IF(       0.002&lt;0.05,"**",IF(       0.002&lt;0.1,"*","NS")))</f>
        <v>***</v>
      </c>
      <c r="G89" s="296" t="s">
        <v>3799</v>
      </c>
      <c r="H89" s="4">
        <v>41.16873745935461</v>
      </c>
      <c r="I89" s="4">
        <v>60.017700318612377</v>
      </c>
      <c r="J89" s="4">
        <v>18.848962859257913</v>
      </c>
      <c r="K89" s="1151" t="str">
        <f>IF(       0.009&lt;0.01,"***",IF(       0.009&lt;0.05,"**",IF(       0.009&lt;0.1,"*","NS")))</f>
        <v>***</v>
      </c>
      <c r="L89" s="4">
        <v>69.394503832398044</v>
      </c>
      <c r="M89" s="4">
        <v>28.225766373043495</v>
      </c>
      <c r="N89" s="1152" t="str">
        <f>IF(       0.002&lt;0.01,"***",IF(       0.002&lt;0.05,"**",IF(       0.002&lt;0.1,"*","NS")))</f>
        <v>***</v>
      </c>
      <c r="P89" s="296" t="s">
        <v>3918</v>
      </c>
      <c r="Q89" s="4">
        <v>44.548201890470366</v>
      </c>
      <c r="R89" s="4">
        <v>69.394503832398044</v>
      </c>
      <c r="S89" s="4">
        <v>24.846301941927621</v>
      </c>
      <c r="T89" s="1153" t="str">
        <f>IF(       0.003&lt;0.01,"***",IF(       0.003&lt;0.05,"**",IF(       0.003&lt;0.1,"*","NS")))</f>
        <v>***</v>
      </c>
    </row>
    <row r="90" spans="1:20" x14ac:dyDescent="0.2">
      <c r="A90" s="296" t="s">
        <v>3696</v>
      </c>
      <c r="B90" s="4" t="s">
        <v>6067</v>
      </c>
      <c r="C90" s="4" t="s">
        <v>6067</v>
      </c>
      <c r="D90" s="4" t="s">
        <v>6067</v>
      </c>
      <c r="E90" s="4" t="s">
        <v>6067</v>
      </c>
      <c r="G90" s="296" t="s">
        <v>3800</v>
      </c>
      <c r="H90" s="4" t="s">
        <v>6067</v>
      </c>
      <c r="I90" s="4" t="s">
        <v>6067</v>
      </c>
      <c r="J90" s="4" t="s">
        <v>6067</v>
      </c>
      <c r="K90" s="4" t="s">
        <v>6067</v>
      </c>
      <c r="L90" s="4" t="s">
        <v>6067</v>
      </c>
      <c r="M90" s="4" t="s">
        <v>6067</v>
      </c>
      <c r="N90" s="4" t="s">
        <v>6067</v>
      </c>
      <c r="P90" s="296" t="s">
        <v>3919</v>
      </c>
      <c r="Q90" s="4" t="s">
        <v>6067</v>
      </c>
      <c r="R90" s="4" t="s">
        <v>6067</v>
      </c>
      <c r="S90" s="4" t="s">
        <v>6067</v>
      </c>
      <c r="T90" s="4" t="s">
        <v>6067</v>
      </c>
    </row>
    <row r="91" spans="1:20" x14ac:dyDescent="0.2">
      <c r="A91" s="296" t="s">
        <v>3697</v>
      </c>
      <c r="B91" s="4" t="s">
        <v>6067</v>
      </c>
      <c r="C91" s="4" t="s">
        <v>6067</v>
      </c>
      <c r="D91" s="4" t="s">
        <v>6067</v>
      </c>
      <c r="E91" s="4" t="s">
        <v>6067</v>
      </c>
      <c r="G91" s="296" t="s">
        <v>3801</v>
      </c>
      <c r="H91" s="4" t="s">
        <v>6067</v>
      </c>
      <c r="I91" s="4" t="s">
        <v>6067</v>
      </c>
      <c r="J91" s="4" t="s">
        <v>6067</v>
      </c>
      <c r="K91" s="4" t="s">
        <v>6067</v>
      </c>
      <c r="L91" s="4" t="s">
        <v>6067</v>
      </c>
      <c r="M91" s="4" t="s">
        <v>6067</v>
      </c>
      <c r="N91" s="4" t="s">
        <v>6067</v>
      </c>
      <c r="P91" s="296" t="s">
        <v>3920</v>
      </c>
      <c r="Q91" s="4" t="s">
        <v>6067</v>
      </c>
      <c r="R91" s="4" t="s">
        <v>6067</v>
      </c>
      <c r="S91" s="4" t="s">
        <v>6067</v>
      </c>
      <c r="T91" s="4" t="s">
        <v>6067</v>
      </c>
    </row>
    <row r="92" spans="1:20" x14ac:dyDescent="0.2">
      <c r="A92" s="296" t="s">
        <v>3698</v>
      </c>
      <c r="B92" s="4">
        <v>68.629882541269936</v>
      </c>
      <c r="C92" s="4">
        <v>80.658736453965801</v>
      </c>
      <c r="D92" s="4">
        <v>12.028853912695864</v>
      </c>
      <c r="E92" s="1154" t="str">
        <f>IF(       0.042&lt;0.01,"***",IF(       0.042&lt;0.05,"**",IF(       0.042&lt;0.1,"*","NS")))</f>
        <v>**</v>
      </c>
      <c r="G92" s="296" t="s">
        <v>3802</v>
      </c>
      <c r="H92" s="4">
        <v>68.629882541269936</v>
      </c>
      <c r="I92" s="4">
        <v>79.977836807547604</v>
      </c>
      <c r="J92" s="4">
        <v>11.347954266277661</v>
      </c>
      <c r="K92" s="1155" t="str">
        <f>IF(       0.082&lt;0.01,"***",IF(       0.082&lt;0.05,"**",IF(       0.082&lt;0.1,"*","NS")))</f>
        <v>*</v>
      </c>
      <c r="L92" s="4">
        <v>82.061263390130293</v>
      </c>
      <c r="M92" s="4">
        <v>13.431380848860325</v>
      </c>
      <c r="N92" s="1156" t="str">
        <f>IF(       0.006&lt;0.01,"***",IF(       0.006&lt;0.05,"**",IF(       0.006&lt;0.1,"*","NS")))</f>
        <v>***</v>
      </c>
      <c r="P92" s="296" t="s">
        <v>3921</v>
      </c>
      <c r="Q92" s="4">
        <v>71.910125490259446</v>
      </c>
      <c r="R92" s="4">
        <v>82.061263390130293</v>
      </c>
      <c r="S92" s="4">
        <v>10.151137899870809</v>
      </c>
      <c r="T92" s="1157" t="str">
        <f>IF(       0.005&lt;0.01,"***",IF(       0.005&lt;0.05,"**",IF(       0.005&lt;0.1,"*","NS")))</f>
        <v>***</v>
      </c>
    </row>
    <row r="93" spans="1:20" x14ac:dyDescent="0.2">
      <c r="A93" s="296" t="s">
        <v>3699</v>
      </c>
      <c r="B93" s="4" t="s">
        <v>6067</v>
      </c>
      <c r="C93" s="4" t="s">
        <v>6067</v>
      </c>
      <c r="D93" s="4" t="s">
        <v>6067</v>
      </c>
      <c r="E93" s="4" t="s">
        <v>6067</v>
      </c>
      <c r="G93" s="296" t="s">
        <v>3803</v>
      </c>
      <c r="H93" s="4" t="s">
        <v>6067</v>
      </c>
      <c r="I93" s="4" t="s">
        <v>6067</v>
      </c>
      <c r="J93" s="4" t="s">
        <v>6067</v>
      </c>
      <c r="K93" s="4" t="s">
        <v>6067</v>
      </c>
      <c r="L93" s="4" t="s">
        <v>6067</v>
      </c>
      <c r="M93" s="4" t="s">
        <v>6067</v>
      </c>
      <c r="N93" s="4" t="s">
        <v>6067</v>
      </c>
      <c r="P93" s="296" t="s">
        <v>3922</v>
      </c>
      <c r="Q93" s="4" t="s">
        <v>6067</v>
      </c>
      <c r="R93" s="4" t="s">
        <v>6067</v>
      </c>
      <c r="S93" s="4" t="s">
        <v>6067</v>
      </c>
      <c r="T93" s="4" t="s">
        <v>6067</v>
      </c>
    </row>
    <row r="94" spans="1:20" x14ac:dyDescent="0.2">
      <c r="A94" s="296" t="s">
        <v>5835</v>
      </c>
      <c r="B94" s="4">
        <v>45.009256828706498</v>
      </c>
      <c r="C94" s="4">
        <v>65.050344253017741</v>
      </c>
      <c r="D94" s="4">
        <v>20.041087424311005</v>
      </c>
      <c r="E94" s="1158" t="str">
        <f>IF(       0&lt;0.01,"***",IF(       0&lt;0.05,"**",IF(       0&lt;0.1,"*","NS")))</f>
        <v>***</v>
      </c>
      <c r="G94" s="296" t="s">
        <v>5835</v>
      </c>
      <c r="H94" s="4">
        <v>45.009256828706498</v>
      </c>
      <c r="I94" s="4">
        <v>62.205725468664419</v>
      </c>
      <c r="J94" s="4">
        <v>17.19646863995785</v>
      </c>
      <c r="K94" s="1159" t="str">
        <f>IF(       0&lt;0.01,"***",IF(       0&lt;0.05,"**",IF(       0&lt;0.1,"*","NS")))</f>
        <v>***</v>
      </c>
      <c r="L94" s="4">
        <v>74.61854138302003</v>
      </c>
      <c r="M94" s="4">
        <v>29.609284554314076</v>
      </c>
      <c r="N94" s="1160" t="str">
        <f>IF(       0&lt;0.01,"***",IF(       0&lt;0.05,"**",IF(       0&lt;0.1,"*","NS")))</f>
        <v>***</v>
      </c>
      <c r="P94" s="296" t="s">
        <v>5835</v>
      </c>
      <c r="Q94" s="4">
        <v>48.387306452020439</v>
      </c>
      <c r="R94" s="4">
        <v>74.61854138302003</v>
      </c>
      <c r="S94" s="4">
        <v>26.231234930998845</v>
      </c>
      <c r="T94" s="1161" t="str">
        <f>IF(       0&lt;0.01,"***",IF(       0&lt;0.05,"**",IF(       0&lt;0.1,"*","NS")))</f>
        <v>***</v>
      </c>
    </row>
    <row r="96" spans="1:20" x14ac:dyDescent="0.2">
      <c r="A96" s="296" t="s">
        <v>5726</v>
      </c>
      <c r="G96" s="296" t="s">
        <v>5727</v>
      </c>
      <c r="P96" s="296" t="s">
        <v>5728</v>
      </c>
    </row>
    <row r="97" spans="1:20" s="3" customFormat="1" x14ac:dyDescent="0.2">
      <c r="A97" s="5334" t="s">
        <v>5309</v>
      </c>
      <c r="B97" s="5335" t="s">
        <v>5310</v>
      </c>
      <c r="C97" s="5336" t="s">
        <v>5311</v>
      </c>
      <c r="D97" s="5337" t="s">
        <v>5312</v>
      </c>
      <c r="E97" s="5338" t="s">
        <v>5313</v>
      </c>
      <c r="G97" s="5339" t="s">
        <v>5349</v>
      </c>
      <c r="H97" s="5340" t="s">
        <v>5350</v>
      </c>
      <c r="I97" s="5341" t="s">
        <v>5351</v>
      </c>
      <c r="J97" s="5342" t="s">
        <v>5352</v>
      </c>
      <c r="K97" s="5343" t="s">
        <v>5353</v>
      </c>
      <c r="L97" s="5344" t="s">
        <v>5389</v>
      </c>
      <c r="M97" s="5345" t="s">
        <v>5390</v>
      </c>
      <c r="N97" s="5346" t="s">
        <v>5391</v>
      </c>
      <c r="P97" s="5347" t="s">
        <v>5395</v>
      </c>
      <c r="Q97" s="5348" t="s">
        <v>5396</v>
      </c>
      <c r="R97" s="5349" t="s">
        <v>5397</v>
      </c>
      <c r="S97" s="5350" t="s">
        <v>5398</v>
      </c>
      <c r="T97" s="5351" t="s">
        <v>5399</v>
      </c>
    </row>
    <row r="98" spans="1:20" x14ac:dyDescent="0.2">
      <c r="A98" s="296" t="s">
        <v>5314</v>
      </c>
      <c r="B98" s="4">
        <v>88.200769176723924</v>
      </c>
      <c r="C98" s="4">
        <v>93.046388350429609</v>
      </c>
      <c r="D98" s="4">
        <v>4.8456191737057184</v>
      </c>
      <c r="E98" s="1162" t="str">
        <f>IF(       0.025&lt;0.01,"***",IF(       0.025&lt;0.05,"**",IF(       0.025&lt;0.1,"*","NS")))</f>
        <v>**</v>
      </c>
      <c r="G98" s="296" t="s">
        <v>5354</v>
      </c>
      <c r="H98" s="4">
        <v>88.200769176723924</v>
      </c>
      <c r="I98" s="4">
        <v>93.033249443219759</v>
      </c>
      <c r="J98" s="4">
        <v>4.8324802664958773</v>
      </c>
      <c r="K98" s="1163" t="str">
        <f>IF(       0.027&lt;0.01,"***",IF(       0.027&lt;0.05,"**",IF(       0.027&lt;0.1,"*","NS")))</f>
        <v>**</v>
      </c>
      <c r="L98" s="4">
        <v>93.144312325721557</v>
      </c>
      <c r="M98" s="4">
        <v>4.9435431489976382</v>
      </c>
      <c r="N98" s="1164" t="str">
        <f>IF(       0&lt;0.01,"***",IF(       0&lt;0.05,"**",IF(       0&lt;0.1,"*","NS")))</f>
        <v>***</v>
      </c>
      <c r="P98" s="296" t="s">
        <v>5400</v>
      </c>
      <c r="Q98" s="4">
        <v>89.599287272662053</v>
      </c>
      <c r="R98" s="4">
        <v>93.144312325721557</v>
      </c>
      <c r="S98" s="4">
        <v>3.5450250530595002</v>
      </c>
      <c r="T98" s="1165" t="str">
        <f>IF(       0.182&lt;0.01,"***",IF(       0.182&lt;0.05,"**",IF(       0.182&lt;0.1,"*","NS")))</f>
        <v>NS</v>
      </c>
    </row>
    <row r="99" spans="1:20" x14ac:dyDescent="0.2">
      <c r="A99" s="296" t="s">
        <v>5315</v>
      </c>
      <c r="B99" s="4">
        <v>83.538787529047255</v>
      </c>
      <c r="C99" s="4">
        <v>94.716474795518891</v>
      </c>
      <c r="D99" s="4">
        <v>11.177687266471619</v>
      </c>
      <c r="E99" s="1166" t="str">
        <f>IF(       0&lt;0.01,"***",IF(       0&lt;0.05,"**",IF(       0&lt;0.1,"*","NS")))</f>
        <v>***</v>
      </c>
      <c r="G99" s="296" t="s">
        <v>5355</v>
      </c>
      <c r="H99" s="4">
        <v>83.538787529047255</v>
      </c>
      <c r="I99" s="4">
        <v>94.117087922151427</v>
      </c>
      <c r="J99" s="4">
        <v>10.578300393103971</v>
      </c>
      <c r="K99" s="1167" t="str">
        <f>IF(       0&lt;0.01,"***",IF(       0&lt;0.05,"**",IF(       0&lt;0.1,"*","NS")))</f>
        <v>***</v>
      </c>
      <c r="L99" s="4">
        <v>97.576766188185303</v>
      </c>
      <c r="M99" s="4">
        <v>14.037978659138096</v>
      </c>
      <c r="N99" s="1168" t="str">
        <f>IF(       0.098&lt;0.01,"***",IF(       0.098&lt;0.05,"**",IF(       0.098&lt;0.1,"*","NS")))</f>
        <v>*</v>
      </c>
      <c r="P99" s="296" t="s">
        <v>5401</v>
      </c>
      <c r="Q99" s="4">
        <v>85.669076996551226</v>
      </c>
      <c r="R99" s="4">
        <v>97.576766188185303</v>
      </c>
      <c r="S99" s="4">
        <v>11.907689191634013</v>
      </c>
      <c r="T99" s="1169" t="str">
        <f>IF(       0&lt;0.01,"***",IF(       0&lt;0.05,"**",IF(       0&lt;0.1,"*","NS")))</f>
        <v>***</v>
      </c>
    </row>
    <row r="100" spans="1:20" x14ac:dyDescent="0.2">
      <c r="A100" s="296" t="s">
        <v>5316</v>
      </c>
      <c r="B100" s="4">
        <v>87.952995295706188</v>
      </c>
      <c r="C100" s="4">
        <v>93.123551008293362</v>
      </c>
      <c r="D100" s="4">
        <v>5.1705557125871442</v>
      </c>
      <c r="E100" s="1170" t="str">
        <f>IF(       0.028&lt;0.01,"***",IF(       0.028&lt;0.05,"**",IF(       0.028&lt;0.1,"*","NS")))</f>
        <v>**</v>
      </c>
      <c r="G100" s="296" t="s">
        <v>5356</v>
      </c>
      <c r="H100" s="4">
        <v>87.952995295706188</v>
      </c>
      <c r="I100" s="4">
        <v>91.945719119578229</v>
      </c>
      <c r="J100" s="4">
        <v>3.9927238238720193</v>
      </c>
      <c r="K100" s="1171" t="str">
        <f>IF(       0.073&lt;0.01,"***",IF(       0.073&lt;0.05,"**",IF(       0.073&lt;0.1,"*","NS")))</f>
        <v>*</v>
      </c>
      <c r="L100" s="4">
        <v>98.759590606883648</v>
      </c>
      <c r="M100" s="4">
        <v>10.806595311177469</v>
      </c>
      <c r="N100" s="1172" t="str">
        <f>IF(       0&lt;0.01,"***",IF(       0&lt;0.05,"**",IF(       0&lt;0.1,"*","NS")))</f>
        <v>***</v>
      </c>
      <c r="P100" s="296" t="s">
        <v>5402</v>
      </c>
      <c r="Q100" s="4">
        <v>88.560856409957026</v>
      </c>
      <c r="R100" s="4">
        <v>98.759590606883648</v>
      </c>
      <c r="S100" s="4">
        <v>10.198734196926495</v>
      </c>
      <c r="T100" s="1173" t="str">
        <f>IF(       0.004&lt;0.01,"***",IF(       0.004&lt;0.05,"**",IF(       0.004&lt;0.1,"*","NS")))</f>
        <v>***</v>
      </c>
    </row>
    <row r="101" spans="1:20" x14ac:dyDescent="0.2">
      <c r="A101" s="296" t="s">
        <v>5317</v>
      </c>
      <c r="B101" s="4">
        <v>88.000681498012639</v>
      </c>
      <c r="C101" s="4">
        <v>90.580974575161576</v>
      </c>
      <c r="D101" s="4">
        <v>2.580293077148883</v>
      </c>
      <c r="E101" s="1174" t="str">
        <f>IF(       0.328&lt;0.01,"***",IF(       0.328&lt;0.05,"**",IF(       0.328&lt;0.1,"*","NS")))</f>
        <v>NS</v>
      </c>
      <c r="G101" s="296" t="s">
        <v>5357</v>
      </c>
      <c r="H101" s="4">
        <v>88.000681498012639</v>
      </c>
      <c r="I101" s="4">
        <v>89.569344699631856</v>
      </c>
      <c r="J101" s="4">
        <v>1.5686632016192255</v>
      </c>
      <c r="K101" s="1175" t="str">
        <f>IF(       0.587&lt;0.01,"***",IF(       0.587&lt;0.05,"**",IF(       0.587&lt;0.1,"*","NS")))</f>
        <v>NS</v>
      </c>
      <c r="L101" s="4">
        <v>97.420046918566143</v>
      </c>
      <c r="M101" s="4">
        <v>9.4193654205534276</v>
      </c>
      <c r="N101" s="1176" t="str">
        <f>IF(       0.004&lt;0.01,"***",IF(       0.004&lt;0.05,"**",IF(       0.004&lt;0.1,"*","NS")))</f>
        <v>***</v>
      </c>
      <c r="P101" s="296" t="s">
        <v>5403</v>
      </c>
      <c r="Q101" s="4">
        <v>88.346239366301447</v>
      </c>
      <c r="R101" s="4">
        <v>97.420046918566143</v>
      </c>
      <c r="S101" s="4">
        <v>9.0738075522647712</v>
      </c>
      <c r="T101" s="1177" t="str">
        <f>IF(       0.004&lt;0.01,"***",IF(       0.004&lt;0.05,"**",IF(       0.004&lt;0.1,"*","NS")))</f>
        <v>***</v>
      </c>
    </row>
    <row r="102" spans="1:20" x14ac:dyDescent="0.2">
      <c r="A102" s="296" t="s">
        <v>5318</v>
      </c>
      <c r="B102" s="4" t="s">
        <v>6067</v>
      </c>
      <c r="C102" s="4" t="s">
        <v>6067</v>
      </c>
      <c r="D102" s="4" t="s">
        <v>6067</v>
      </c>
      <c r="E102" s="4" t="s">
        <v>6067</v>
      </c>
      <c r="G102" s="296" t="s">
        <v>5358</v>
      </c>
      <c r="H102" s="4" t="s">
        <v>6067</v>
      </c>
      <c r="I102" s="4" t="s">
        <v>6067</v>
      </c>
      <c r="J102" s="4" t="s">
        <v>6067</v>
      </c>
      <c r="K102" s="4" t="s">
        <v>6067</v>
      </c>
      <c r="L102" s="4" t="s">
        <v>6067</v>
      </c>
      <c r="M102" s="4" t="s">
        <v>6067</v>
      </c>
      <c r="N102" s="4" t="s">
        <v>6067</v>
      </c>
      <c r="P102" s="296" t="s">
        <v>5404</v>
      </c>
      <c r="Q102" s="4" t="s">
        <v>6067</v>
      </c>
      <c r="R102" s="4" t="s">
        <v>6067</v>
      </c>
      <c r="S102" s="4" t="s">
        <v>6067</v>
      </c>
      <c r="T102" s="4" t="s">
        <v>6067</v>
      </c>
    </row>
    <row r="103" spans="1:20" x14ac:dyDescent="0.2">
      <c r="A103" s="296" t="s">
        <v>5319</v>
      </c>
      <c r="B103" s="4">
        <v>68.898986296280128</v>
      </c>
      <c r="C103" s="4">
        <v>81.185124351051087</v>
      </c>
      <c r="D103" s="4">
        <v>12.286138054770589</v>
      </c>
      <c r="E103" s="1178" t="str">
        <f>IF(       0&lt;0.01,"***",IF(       0&lt;0.05,"**",IF(       0&lt;0.1,"*","NS")))</f>
        <v>***</v>
      </c>
      <c r="G103" s="296" t="s">
        <v>5359</v>
      </c>
      <c r="H103" s="4">
        <v>68.898986296280128</v>
      </c>
      <c r="I103" s="4">
        <v>80.783635879415129</v>
      </c>
      <c r="J103" s="4">
        <v>11.884649583135001</v>
      </c>
      <c r="K103" s="1179" t="str">
        <f>IF(       0&lt;0.01,"***",IF(       0&lt;0.05,"**",IF(       0&lt;0.1,"*","NS")))</f>
        <v>***</v>
      </c>
      <c r="L103" s="4">
        <v>83.194973287674003</v>
      </c>
      <c r="M103" s="4">
        <v>14.295986991393727</v>
      </c>
      <c r="N103" s="1180" t="str">
        <f>IF(       0.075&lt;0.01,"***",IF(       0.075&lt;0.05,"**",IF(       0.075&lt;0.1,"*","NS")))</f>
        <v>*</v>
      </c>
      <c r="P103" s="296" t="s">
        <v>5405</v>
      </c>
      <c r="Q103" s="4">
        <v>71.31155008692815</v>
      </c>
      <c r="R103" s="4">
        <v>83.194973287674003</v>
      </c>
      <c r="S103" s="4">
        <v>11.883423200745897</v>
      </c>
      <c r="T103" s="1181" t="str">
        <f>IF(       0.014&lt;0.01,"***",IF(       0.014&lt;0.05,"**",IF(       0.014&lt;0.1,"*","NS")))</f>
        <v>**</v>
      </c>
    </row>
    <row r="104" spans="1:20" x14ac:dyDescent="0.2">
      <c r="A104" s="296" t="s">
        <v>5320</v>
      </c>
      <c r="B104" s="4">
        <v>23.473680443279019</v>
      </c>
      <c r="C104" s="4">
        <v>36.822240123343811</v>
      </c>
      <c r="D104" s="4">
        <v>13.348559680064888</v>
      </c>
      <c r="E104" s="1182" t="str">
        <f>IF(       0&lt;0.01,"***",IF(       0&lt;0.05,"**",IF(       0&lt;0.1,"*","NS")))</f>
        <v>***</v>
      </c>
      <c r="G104" s="296" t="s">
        <v>5360</v>
      </c>
      <c r="H104" s="4">
        <v>23.473680443279019</v>
      </c>
      <c r="I104" s="4">
        <v>35.456119572176057</v>
      </c>
      <c r="J104" s="4">
        <v>11.9824391288968</v>
      </c>
      <c r="K104" s="1183" t="str">
        <f>IF(       0.001&lt;0.01,"***",IF(       0.001&lt;0.05,"**",IF(       0.001&lt;0.1,"*","NS")))</f>
        <v>***</v>
      </c>
      <c r="L104" s="4">
        <v>42.340460160513068</v>
      </c>
      <c r="M104" s="4">
        <v>18.866779717233968</v>
      </c>
      <c r="N104" s="1184" t="str">
        <f>IF(       0.005&lt;0.01,"***",IF(       0.005&lt;0.05,"**",IF(       0.005&lt;0.1,"*","NS")))</f>
        <v>***</v>
      </c>
      <c r="P104" s="296" t="s">
        <v>5406</v>
      </c>
      <c r="Q104" s="4">
        <v>24.72231761974415</v>
      </c>
      <c r="R104" s="4">
        <v>42.340460160513068</v>
      </c>
      <c r="S104" s="4">
        <v>17.618142540768428</v>
      </c>
      <c r="T104" s="1185" t="str">
        <f>IF(       0.032&lt;0.01,"***",IF(       0.032&lt;0.05,"**",IF(       0.032&lt;0.1,"*","NS")))</f>
        <v>**</v>
      </c>
    </row>
    <row r="105" spans="1:20" x14ac:dyDescent="0.2">
      <c r="A105" s="296" t="s">
        <v>5321</v>
      </c>
      <c r="B105" s="4" t="s">
        <v>6067</v>
      </c>
      <c r="C105" s="4" t="s">
        <v>6067</v>
      </c>
      <c r="D105" s="4" t="s">
        <v>6067</v>
      </c>
      <c r="E105" s="4" t="s">
        <v>6067</v>
      </c>
      <c r="G105" s="296" t="s">
        <v>5361</v>
      </c>
      <c r="H105" s="4" t="s">
        <v>6067</v>
      </c>
      <c r="I105" s="4" t="s">
        <v>6067</v>
      </c>
      <c r="J105" s="4" t="s">
        <v>6067</v>
      </c>
      <c r="K105" s="4" t="s">
        <v>6067</v>
      </c>
      <c r="L105" s="4" t="s">
        <v>6067</v>
      </c>
      <c r="M105" s="4" t="s">
        <v>6067</v>
      </c>
      <c r="N105" s="4" t="s">
        <v>6067</v>
      </c>
      <c r="P105" s="296" t="s">
        <v>5407</v>
      </c>
      <c r="Q105" s="4" t="s">
        <v>6067</v>
      </c>
      <c r="R105" s="4" t="s">
        <v>6067</v>
      </c>
      <c r="S105" s="4" t="s">
        <v>6067</v>
      </c>
      <c r="T105" s="4" t="s">
        <v>6067</v>
      </c>
    </row>
    <row r="106" spans="1:20" x14ac:dyDescent="0.2">
      <c r="A106" s="296" t="s">
        <v>5322</v>
      </c>
      <c r="B106" s="4">
        <v>81.839574776645506</v>
      </c>
      <c r="C106" s="4">
        <v>93.274506582373874</v>
      </c>
      <c r="D106" s="4">
        <v>11.434931805728434</v>
      </c>
      <c r="E106" s="1186" t="str">
        <f>IF(       0&lt;0.01,"***",IF(       0&lt;0.05,"**",IF(       0&lt;0.1,"*","NS")))</f>
        <v>***</v>
      </c>
      <c r="G106" s="296" t="s">
        <v>5362</v>
      </c>
      <c r="H106" s="4">
        <v>81.839574776645506</v>
      </c>
      <c r="I106" s="4">
        <v>91.931074119695907</v>
      </c>
      <c r="J106" s="4">
        <v>10.09149934305046</v>
      </c>
      <c r="K106" s="1187" t="str">
        <f>IF(       0&lt;0.01,"***",IF(       0&lt;0.05,"**",IF(       0&lt;0.1,"*","NS")))</f>
        <v>***</v>
      </c>
      <c r="L106" s="4">
        <v>96.826570568120701</v>
      </c>
      <c r="M106" s="4">
        <v>14.98699579147512</v>
      </c>
      <c r="N106" s="1188" t="str">
        <f>IF(       0.077&lt;0.01,"***",IF(       0.077&lt;0.05,"**",IF(       0.077&lt;0.1,"*","NS")))</f>
        <v>*</v>
      </c>
      <c r="P106" s="296" t="s">
        <v>5408</v>
      </c>
      <c r="Q106" s="4">
        <v>84.275682762752766</v>
      </c>
      <c r="R106" s="4">
        <v>96.826570568120701</v>
      </c>
      <c r="S106" s="4">
        <v>12.550887805367921</v>
      </c>
      <c r="T106" s="1189" t="str">
        <f>IF(       0&lt;0.01,"***",IF(       0&lt;0.05,"**",IF(       0&lt;0.1,"*","NS")))</f>
        <v>***</v>
      </c>
    </row>
    <row r="107" spans="1:20" x14ac:dyDescent="0.2">
      <c r="A107" s="296" t="s">
        <v>5323</v>
      </c>
      <c r="B107" s="4">
        <v>94.074207268358265</v>
      </c>
      <c r="C107" s="4">
        <v>95.050088985873131</v>
      </c>
      <c r="D107" s="4">
        <v>0.97588171751486763</v>
      </c>
      <c r="E107" s="1190" t="str">
        <f>IF(       0.264&lt;0.01,"***",IF(       0.264&lt;0.05,"**",IF(       0.264&lt;0.1,"*","NS")))</f>
        <v>NS</v>
      </c>
      <c r="G107" s="296" t="s">
        <v>5363</v>
      </c>
      <c r="H107" s="4">
        <v>94.074207268358265</v>
      </c>
      <c r="I107" s="4">
        <v>95.061386340068395</v>
      </c>
      <c r="J107" s="4">
        <v>0.98717907171013752</v>
      </c>
      <c r="K107" s="1191" t="str">
        <f>IF(       0.289&lt;0.01,"***",IF(       0.289&lt;0.05,"**",IF(       0.289&lt;0.1,"*","NS")))</f>
        <v>NS</v>
      </c>
      <c r="L107" s="4">
        <v>94.983792975039464</v>
      </c>
      <c r="M107" s="4">
        <v>0.90958570668119543</v>
      </c>
      <c r="N107" s="1192" t="str">
        <f>IF(       0&lt;0.01,"***",IF(       0&lt;0.05,"**",IF(       0&lt;0.1,"*","NS")))</f>
        <v>***</v>
      </c>
      <c r="P107" s="296" t="s">
        <v>5409</v>
      </c>
      <c r="Q107" s="4">
        <v>94.390046544500521</v>
      </c>
      <c r="R107" s="4">
        <v>94.983792975039464</v>
      </c>
      <c r="S107" s="4">
        <v>0.59374643053891618</v>
      </c>
      <c r="T107" s="1193" t="str">
        <f>IF(       0.691&lt;0.01,"***",IF(       0.691&lt;0.05,"**",IF(       0.691&lt;0.1,"*","NS")))</f>
        <v>NS</v>
      </c>
    </row>
    <row r="108" spans="1:20" x14ac:dyDescent="0.2">
      <c r="A108" s="296" t="s">
        <v>5324</v>
      </c>
      <c r="B108" s="4">
        <v>68.204427375878524</v>
      </c>
      <c r="C108" s="4">
        <v>79.304541560851519</v>
      </c>
      <c r="D108" s="4">
        <v>11.100114184973179</v>
      </c>
      <c r="E108" s="1194" t="str">
        <f>IF(       0&lt;0.01,"***",IF(       0&lt;0.05,"**",IF(       0&lt;0.1,"*","NS")))</f>
        <v>***</v>
      </c>
      <c r="G108" s="296" t="s">
        <v>5364</v>
      </c>
      <c r="H108" s="4">
        <v>68.204427375878524</v>
      </c>
      <c r="I108" s="4">
        <v>79.087466929016742</v>
      </c>
      <c r="J108" s="4">
        <v>10.883039553138321</v>
      </c>
      <c r="K108" s="1195" t="str">
        <f>IF(       0&lt;0.01,"***",IF(       0&lt;0.05,"**",IF(       0&lt;0.1,"*","NS")))</f>
        <v>***</v>
      </c>
      <c r="L108" s="4">
        <v>80.180075098072592</v>
      </c>
      <c r="M108" s="4">
        <v>11.975647722193937</v>
      </c>
      <c r="N108" s="1196" t="str">
        <f>IF(       0.554&lt;0.01,"***",IF(       0.554&lt;0.05,"**",IF(       0.554&lt;0.1,"*","NS")))</f>
        <v>NS</v>
      </c>
      <c r="P108" s="296" t="s">
        <v>5410</v>
      </c>
      <c r="Q108" s="4">
        <v>69.875910728720612</v>
      </c>
      <c r="R108" s="4">
        <v>80.180075098072592</v>
      </c>
      <c r="S108" s="4">
        <v>10.304164369352089</v>
      </c>
      <c r="T108" s="1197" t="str">
        <f>IF(       0.071&lt;0.01,"***",IF(       0.071&lt;0.05,"**",IF(       0.071&lt;0.1,"*","NS")))</f>
        <v>*</v>
      </c>
    </row>
    <row r="109" spans="1:20" x14ac:dyDescent="0.2">
      <c r="A109" s="296" t="s">
        <v>5325</v>
      </c>
      <c r="B109" s="4">
        <v>45.791054220933361</v>
      </c>
      <c r="C109" s="4">
        <v>66.655896737394869</v>
      </c>
      <c r="D109" s="4">
        <v>20.864842516461344</v>
      </c>
      <c r="E109" s="1198" t="str">
        <f>IF(       0&lt;0.01,"***",IF(       0&lt;0.05,"**",IF(       0&lt;0.1,"*","NS")))</f>
        <v>***</v>
      </c>
      <c r="G109" s="296" t="s">
        <v>5365</v>
      </c>
      <c r="H109" s="4">
        <v>45.791054220933361</v>
      </c>
      <c r="I109" s="4">
        <v>64.162549828052121</v>
      </c>
      <c r="J109" s="4">
        <v>18.371495607118689</v>
      </c>
      <c r="K109" s="1199" t="str">
        <f>IF(       0&lt;0.01,"***",IF(       0&lt;0.05,"**",IF(       0&lt;0.1,"*","NS")))</f>
        <v>***</v>
      </c>
      <c r="L109" s="4">
        <v>80.029638034060625</v>
      </c>
      <c r="M109" s="4">
        <v>34.238583813127114</v>
      </c>
      <c r="N109" s="1200" t="str">
        <f>IF(       0.04&lt;0.01,"***",IF(       0.04&lt;0.05,"**",IF(       0.04&lt;0.1,"*","NS")))</f>
        <v>**</v>
      </c>
      <c r="P109" s="296" t="s">
        <v>5411</v>
      </c>
      <c r="Q109" s="4">
        <v>48.524040393394017</v>
      </c>
      <c r="R109" s="4">
        <v>80.029638034060625</v>
      </c>
      <c r="S109" s="4">
        <v>31.505597640666721</v>
      </c>
      <c r="T109" s="1201" t="str">
        <f>IF(       0&lt;0.01,"***",IF(       0&lt;0.05,"**",IF(       0&lt;0.1,"*","NS")))</f>
        <v>***</v>
      </c>
    </row>
    <row r="110" spans="1:20" x14ac:dyDescent="0.2">
      <c r="A110" s="296" t="s">
        <v>5326</v>
      </c>
      <c r="B110" s="4">
        <v>84.746519446928019</v>
      </c>
      <c r="C110" s="4">
        <v>89.692328283337758</v>
      </c>
      <c r="D110" s="4">
        <v>4.9458088364096913</v>
      </c>
      <c r="E110" s="1202" t="str">
        <f>IF(       0.024&lt;0.01,"***",IF(       0.024&lt;0.05,"**",IF(       0.024&lt;0.1,"*","NS")))</f>
        <v>**</v>
      </c>
      <c r="G110" s="296" t="s">
        <v>5366</v>
      </c>
      <c r="H110" s="4">
        <v>84.746519446928019</v>
      </c>
      <c r="I110" s="4">
        <v>91.346194768841201</v>
      </c>
      <c r="J110" s="4">
        <v>6.5996753219131419</v>
      </c>
      <c r="K110" s="1203" t="str">
        <f>IF(       0.005&lt;0.01,"***",IF(       0.005&lt;0.05,"**",IF(       0.005&lt;0.1,"*","NS")))</f>
        <v>***</v>
      </c>
      <c r="L110" s="4">
        <v>83.205599292013176</v>
      </c>
      <c r="M110" s="4">
        <v>-1.5409201549148572</v>
      </c>
      <c r="N110" s="1204" t="str">
        <f>IF(       0&lt;0.01,"***",IF(       0&lt;0.05,"**",IF(       0&lt;0.1,"*","NS")))</f>
        <v>***</v>
      </c>
      <c r="P110" s="296" t="s">
        <v>5412</v>
      </c>
      <c r="Q110" s="4">
        <v>85.6528938311058</v>
      </c>
      <c r="R110" s="4">
        <v>83.205599292013176</v>
      </c>
      <c r="S110" s="4">
        <v>-2.4472945390925793</v>
      </c>
      <c r="T110" s="1205" t="str">
        <f>IF(       0.641&lt;0.01,"***",IF(       0.641&lt;0.05,"**",IF(       0.641&lt;0.1,"*","NS")))</f>
        <v>NS</v>
      </c>
    </row>
    <row r="111" spans="1:20" x14ac:dyDescent="0.2">
      <c r="A111" s="296" t="s">
        <v>5327</v>
      </c>
      <c r="B111" s="4">
        <v>84.623185455526553</v>
      </c>
      <c r="C111" s="4">
        <v>89.967351479398062</v>
      </c>
      <c r="D111" s="4">
        <v>5.3441660238715496</v>
      </c>
      <c r="E111" s="1206" t="str">
        <f>IF(       0.011&lt;0.01,"***",IF(       0.011&lt;0.05,"**",IF(       0.011&lt;0.1,"*","NS")))</f>
        <v>**</v>
      </c>
      <c r="G111" s="296" t="s">
        <v>5367</v>
      </c>
      <c r="H111" s="4">
        <v>84.623185455526553</v>
      </c>
      <c r="I111" s="4">
        <v>89.897460432095343</v>
      </c>
      <c r="J111" s="4">
        <v>5.2742749765687833</v>
      </c>
      <c r="K111" s="1207" t="str">
        <f>IF(       0.008&lt;0.01,"***",IF(       0.008&lt;0.05,"**",IF(       0.008&lt;0.1,"*","NS")))</f>
        <v>***</v>
      </c>
      <c r="L111" s="4">
        <v>90.237215295409229</v>
      </c>
      <c r="M111" s="4">
        <v>5.6140298398826358</v>
      </c>
      <c r="N111" s="1208" t="str">
        <f>IF(       0.768&lt;0.01,"***",IF(       0.768&lt;0.05,"**",IF(       0.768&lt;0.1,"*","NS")))</f>
        <v>NS</v>
      </c>
      <c r="P111" s="296" t="s">
        <v>5413</v>
      </c>
      <c r="Q111" s="4">
        <v>86.014258972550834</v>
      </c>
      <c r="R111" s="4">
        <v>90.237215295409229</v>
      </c>
      <c r="S111" s="4">
        <v>4.2229563228583702</v>
      </c>
      <c r="T111" s="1209" t="str">
        <f>IF(       0.136&lt;0.01,"***",IF(       0.136&lt;0.05,"**",IF(       0.136&lt;0.1,"*","NS")))</f>
        <v>NS</v>
      </c>
    </row>
    <row r="112" spans="1:20" x14ac:dyDescent="0.2">
      <c r="A112" s="296" t="s">
        <v>5328</v>
      </c>
      <c r="B112" s="4">
        <v>94.613360614002943</v>
      </c>
      <c r="C112" s="4">
        <v>96.910152115901994</v>
      </c>
      <c r="D112" s="4">
        <v>2.2967915018990728</v>
      </c>
      <c r="E112" s="1210" t="str">
        <f>IF(       0.043&lt;0.01,"***",IF(       0.043&lt;0.05,"**",IF(       0.043&lt;0.1,"*","NS")))</f>
        <v>**</v>
      </c>
      <c r="G112" s="296" t="s">
        <v>5368</v>
      </c>
      <c r="H112" s="4">
        <v>94.613360614002943</v>
      </c>
      <c r="I112" s="4">
        <v>96.918932963726476</v>
      </c>
      <c r="J112" s="4">
        <v>2.3055723497235454</v>
      </c>
      <c r="K112" s="1211" t="str">
        <f>IF(       0.051&lt;0.01,"***",IF(       0.051&lt;0.05,"**",IF(       0.051&lt;0.1,"*","NS")))</f>
        <v>*</v>
      </c>
      <c r="L112" s="4">
        <v>96.858365583820856</v>
      </c>
      <c r="M112" s="4">
        <v>2.2450049698179364</v>
      </c>
      <c r="N112" s="1212" t="str">
        <f>IF(       0.076&lt;0.01,"***",IF(       0.076&lt;0.05,"**",IF(       0.076&lt;0.1,"*","NS")))</f>
        <v>*</v>
      </c>
      <c r="P112" s="296" t="s">
        <v>5414</v>
      </c>
      <c r="Q112" s="4">
        <v>95.041527374688172</v>
      </c>
      <c r="R112" s="4">
        <v>96.858365583820856</v>
      </c>
      <c r="S112" s="4">
        <v>1.8168382091327058</v>
      </c>
      <c r="T112" s="1213" t="str">
        <f>IF(       0.393&lt;0.01,"***",IF(       0.393&lt;0.05,"**",IF(       0.393&lt;0.1,"*","NS")))</f>
        <v>NS</v>
      </c>
    </row>
    <row r="113" spans="1:20" x14ac:dyDescent="0.2">
      <c r="A113" s="296" t="s">
        <v>5835</v>
      </c>
      <c r="B113" s="4">
        <v>73.656655640678252</v>
      </c>
      <c r="C113" s="4">
        <v>85.888113625110222</v>
      </c>
      <c r="D113" s="4">
        <v>12.231457984431628</v>
      </c>
      <c r="E113" s="1214" t="str">
        <f>IF(       0&lt;0.01,"***",IF(       0&lt;0.05,"**",IF(       0&lt;0.1,"*","NS")))</f>
        <v>***</v>
      </c>
      <c r="G113" s="296" t="s">
        <v>5835</v>
      </c>
      <c r="H113" s="4">
        <v>73.656655640678252</v>
      </c>
      <c r="I113" s="4">
        <v>85.409209326981326</v>
      </c>
      <c r="J113" s="4">
        <v>11.75255368630333</v>
      </c>
      <c r="K113" s="1215" t="str">
        <f>IF(       0&lt;0.01,"***",IF(       0&lt;0.05,"**",IF(       0&lt;0.1,"*","NS")))</f>
        <v>***</v>
      </c>
      <c r="L113" s="4">
        <v>88.235259392515275</v>
      </c>
      <c r="M113" s="4">
        <v>14.578603751838278</v>
      </c>
      <c r="N113" s="1216" t="str">
        <f>IF(       0&lt;0.01,"***",IF(       0&lt;0.05,"**",IF(       0&lt;0.1,"*","NS")))</f>
        <v>***</v>
      </c>
      <c r="P113" s="296" t="s">
        <v>5835</v>
      </c>
      <c r="Q113" s="4">
        <v>75.905976443525105</v>
      </c>
      <c r="R113" s="4">
        <v>88.235259392515275</v>
      </c>
      <c r="S113" s="4">
        <v>12.329282948991603</v>
      </c>
      <c r="T113" s="1217" t="str">
        <f>IF(       0&lt;0.01,"***",IF(       0&lt;0.05,"**",IF(       0&lt;0.1,"*","NS")))</f>
        <v>***</v>
      </c>
    </row>
    <row r="115" spans="1:20" x14ac:dyDescent="0.2">
      <c r="A115" s="296" t="s">
        <v>5765</v>
      </c>
      <c r="G115" s="296" t="s">
        <v>5766</v>
      </c>
      <c r="P115" s="296" t="s">
        <v>5767</v>
      </c>
    </row>
    <row r="116" spans="1:20" s="3" customFormat="1" x14ac:dyDescent="0.2">
      <c r="A116" s="5352" t="s">
        <v>5329</v>
      </c>
      <c r="B116" s="5353" t="s">
        <v>5330</v>
      </c>
      <c r="C116" s="5354" t="s">
        <v>5331</v>
      </c>
      <c r="D116" s="5355" t="s">
        <v>5332</v>
      </c>
      <c r="E116" s="5356" t="s">
        <v>5333</v>
      </c>
      <c r="G116" s="5357" t="s">
        <v>5369</v>
      </c>
      <c r="H116" s="5358" t="s">
        <v>5370</v>
      </c>
      <c r="I116" s="5359" t="s">
        <v>5371</v>
      </c>
      <c r="J116" s="5360" t="s">
        <v>5372</v>
      </c>
      <c r="K116" s="5361" t="s">
        <v>5373</v>
      </c>
      <c r="L116" s="5362" t="s">
        <v>5392</v>
      </c>
      <c r="M116" s="5363" t="s">
        <v>5393</v>
      </c>
      <c r="N116" s="5364" t="s">
        <v>5394</v>
      </c>
      <c r="P116" s="5365" t="s">
        <v>5415</v>
      </c>
      <c r="Q116" s="5366" t="s">
        <v>5416</v>
      </c>
      <c r="R116" s="5367" t="s">
        <v>5417</v>
      </c>
      <c r="S116" s="5368" t="s">
        <v>5418</v>
      </c>
      <c r="T116" s="5369" t="s">
        <v>5419</v>
      </c>
    </row>
    <row r="117" spans="1:20" x14ac:dyDescent="0.2">
      <c r="A117" s="296" t="s">
        <v>5334</v>
      </c>
      <c r="B117" s="4">
        <v>91.568040721296697</v>
      </c>
      <c r="C117" s="4">
        <v>94.46653034043328</v>
      </c>
      <c r="D117" s="4">
        <v>2.8984896191365843</v>
      </c>
      <c r="E117" s="1218" t="str">
        <f>IF(       0.179&lt;0.01,"***",IF(       0.179&lt;0.05,"**",IF(       0.179&lt;0.1,"*","NS")))</f>
        <v>NS</v>
      </c>
      <c r="G117" s="296" t="s">
        <v>5374</v>
      </c>
      <c r="H117" s="4">
        <v>91.568040721296697</v>
      </c>
      <c r="I117" s="4">
        <v>93.387587475868628</v>
      </c>
      <c r="J117" s="4">
        <v>1.8195467545719399</v>
      </c>
      <c r="K117" s="1219" t="str">
        <f>IF(       0.472&lt;0.01,"***",IF(       0.472&lt;0.05,"**",IF(       0.472&lt;0.1,"*","NS")))</f>
        <v>NS</v>
      </c>
      <c r="L117" s="4">
        <v>96.668670666512938</v>
      </c>
      <c r="M117" s="4">
        <v>5.1006299452162311</v>
      </c>
      <c r="N117" s="1220" t="str">
        <f>IF(       0.035&lt;0.01,"***",IF(       0.035&lt;0.05,"**",IF(       0.035&lt;0.1,"*","NS")))</f>
        <v>**</v>
      </c>
      <c r="P117" s="296" t="s">
        <v>5420</v>
      </c>
      <c r="Q117" s="4">
        <v>92.76010738154018</v>
      </c>
      <c r="R117" s="4">
        <v>96.668670666512938</v>
      </c>
      <c r="S117" s="4">
        <v>3.9085632849727658</v>
      </c>
      <c r="T117" s="1221" t="str">
        <f>IF(       0.084&lt;0.01,"***",IF(       0.084&lt;0.05,"**",IF(       0.084&lt;0.1,"*","NS")))</f>
        <v>*</v>
      </c>
    </row>
    <row r="118" spans="1:20" x14ac:dyDescent="0.2">
      <c r="A118" s="296" t="s">
        <v>5335</v>
      </c>
      <c r="B118" s="4">
        <v>83.184060610462666</v>
      </c>
      <c r="C118" s="4">
        <v>91.785708545008944</v>
      </c>
      <c r="D118" s="4">
        <v>8.6016479345462535</v>
      </c>
      <c r="E118" s="1222" t="str">
        <f>IF(       0.002&lt;0.01,"***",IF(       0.002&lt;0.05,"**",IF(       0.002&lt;0.1,"*","NS")))</f>
        <v>***</v>
      </c>
      <c r="G118" s="296" t="s">
        <v>5375</v>
      </c>
      <c r="H118" s="4">
        <v>83.184060610462666</v>
      </c>
      <c r="I118" s="4">
        <v>90.515787342476216</v>
      </c>
      <c r="J118" s="4">
        <v>7.3317267320135135</v>
      </c>
      <c r="K118" s="1223" t="str">
        <f>IF(       0.016&lt;0.01,"***",IF(       0.016&lt;0.05,"**",IF(       0.016&lt;0.1,"*","NS")))</f>
        <v>**</v>
      </c>
      <c r="L118" s="4">
        <v>93.939294735212002</v>
      </c>
      <c r="M118" s="4">
        <v>10.755234124749334</v>
      </c>
      <c r="N118" s="1224" t="str">
        <f>IF(       0.001&lt;0.01,"***",IF(       0.001&lt;0.05,"**",IF(       0.001&lt;0.1,"*","NS")))</f>
        <v>***</v>
      </c>
      <c r="P118" s="296" t="s">
        <v>5421</v>
      </c>
      <c r="Q118" s="4">
        <v>87.587243518995535</v>
      </c>
      <c r="R118" s="4">
        <v>93.939294735212002</v>
      </c>
      <c r="S118" s="4">
        <v>6.3520512162164948</v>
      </c>
      <c r="T118" s="1225" t="str">
        <f>IF(       0.008&lt;0.01,"***",IF(       0.008&lt;0.05,"**",IF(       0.008&lt;0.1,"*","NS")))</f>
        <v>***</v>
      </c>
    </row>
    <row r="119" spans="1:20" x14ac:dyDescent="0.2">
      <c r="A119" s="296" t="s">
        <v>5336</v>
      </c>
      <c r="B119" s="4">
        <v>89.1374777983998</v>
      </c>
      <c r="C119" s="4">
        <v>94.137185409059185</v>
      </c>
      <c r="D119" s="4">
        <v>4.9997076106593843</v>
      </c>
      <c r="E119" s="1226" t="str">
        <f>IF(       0.105&lt;0.01,"***",IF(       0.105&lt;0.05,"**",IF(       0.105&lt;0.1,"*","NS")))</f>
        <v>NS</v>
      </c>
      <c r="G119" s="296" t="s">
        <v>5376</v>
      </c>
      <c r="H119" s="4">
        <v>89.1374777983998</v>
      </c>
      <c r="I119" s="4">
        <v>93.182565249391416</v>
      </c>
      <c r="J119" s="4">
        <v>4.0450874509916241</v>
      </c>
      <c r="K119" s="1227" t="str">
        <f>IF(       0.157&lt;0.01,"***",IF(       0.157&lt;0.05,"**",IF(       0.157&lt;0.1,"*","NS")))</f>
        <v>NS</v>
      </c>
      <c r="L119" s="4">
        <v>96.288919215206832</v>
      </c>
      <c r="M119" s="4">
        <v>7.1514414168070326</v>
      </c>
      <c r="N119" s="1228" t="str">
        <f>IF(       0.098&lt;0.01,"***",IF(       0.098&lt;0.05,"**",IF(       0.098&lt;0.1,"*","NS")))</f>
        <v>*</v>
      </c>
      <c r="P119" s="296" t="s">
        <v>5422</v>
      </c>
      <c r="Q119" s="4">
        <v>91.073876390212774</v>
      </c>
      <c r="R119" s="4">
        <v>96.288919215206832</v>
      </c>
      <c r="S119" s="4">
        <v>5.215042824994085</v>
      </c>
      <c r="T119" s="1229" t="str">
        <f>IF(       0.13&lt;0.01,"***",IF(       0.13&lt;0.05,"**",IF(       0.13&lt;0.1,"*","NS")))</f>
        <v>NS</v>
      </c>
    </row>
    <row r="120" spans="1:20" x14ac:dyDescent="0.2">
      <c r="A120" s="296" t="s">
        <v>5337</v>
      </c>
      <c r="B120" s="4">
        <v>84.876742983335902</v>
      </c>
      <c r="C120" s="4">
        <v>90.345976862990014</v>
      </c>
      <c r="D120" s="4">
        <v>5.469233879654114</v>
      </c>
      <c r="E120" s="1230" t="str">
        <f>IF(       0.063&lt;0.01,"***",IF(       0.063&lt;0.05,"**",IF(       0.063&lt;0.1,"*","NS")))</f>
        <v>*</v>
      </c>
      <c r="G120" s="296" t="s">
        <v>5377</v>
      </c>
      <c r="H120" s="4">
        <v>84.876742983335902</v>
      </c>
      <c r="I120" s="4">
        <v>89.103304514658063</v>
      </c>
      <c r="J120" s="4">
        <v>4.2265615313221465</v>
      </c>
      <c r="K120" s="1231" t="str">
        <f>IF(       0.163&lt;0.01,"***",IF(       0.163&lt;0.05,"**",IF(       0.163&lt;0.1,"*","NS")))</f>
        <v>NS</v>
      </c>
      <c r="L120" s="4">
        <v>93.240314299692216</v>
      </c>
      <c r="M120" s="4">
        <v>8.363571316356289</v>
      </c>
      <c r="N120" s="1232" t="str">
        <f>IF(       0.015&lt;0.01,"***",IF(       0.015&lt;0.05,"**",IF(       0.015&lt;0.1,"*","NS")))</f>
        <v>**</v>
      </c>
      <c r="P120" s="296" t="s">
        <v>5423</v>
      </c>
      <c r="Q120" s="4">
        <v>87.201250758393314</v>
      </c>
      <c r="R120" s="4">
        <v>93.240314299692216</v>
      </c>
      <c r="S120" s="4">
        <v>6.0390635412988756</v>
      </c>
      <c r="T120" s="1233" t="str">
        <f>IF(       0.016&lt;0.01,"***",IF(       0.016&lt;0.05,"**",IF(       0.016&lt;0.1,"*","NS")))</f>
        <v>**</v>
      </c>
    </row>
    <row r="121" spans="1:20" x14ac:dyDescent="0.2">
      <c r="A121" s="296" t="s">
        <v>5338</v>
      </c>
      <c r="B121" s="4">
        <v>89.408634216100737</v>
      </c>
      <c r="C121" s="4">
        <v>90.649653366876635</v>
      </c>
      <c r="D121" s="4">
        <v>1.2410191507758965</v>
      </c>
      <c r="E121" s="1234" t="str">
        <f>IF(       0.671&lt;0.01,"***",IF(       0.671&lt;0.05,"**",IF(       0.671&lt;0.1,"*","NS")))</f>
        <v>NS</v>
      </c>
      <c r="G121" s="296" t="s">
        <v>5378</v>
      </c>
      <c r="H121" s="4">
        <v>89.408634216100737</v>
      </c>
      <c r="I121" s="4">
        <v>89.029309672149736</v>
      </c>
      <c r="J121" s="4">
        <v>-0.37932454395099763</v>
      </c>
      <c r="K121" s="1235" t="str">
        <f>IF(       0.897&lt;0.01,"***",IF(       0.897&lt;0.05,"**",IF(       0.897&lt;0.1,"*","NS")))</f>
        <v>NS</v>
      </c>
      <c r="L121" s="4">
        <v>95.710181872321201</v>
      </c>
      <c r="M121" s="4">
        <v>6.301547656220464</v>
      </c>
      <c r="N121" s="1236" t="str">
        <f>IF(       0.106&lt;0.01,"***",IF(       0.106&lt;0.05,"**",IF(       0.106&lt;0.1,"*","NS")))</f>
        <v>NS</v>
      </c>
      <c r="P121" s="296" t="s">
        <v>5424</v>
      </c>
      <c r="Q121" s="4">
        <v>89.183136916162525</v>
      </c>
      <c r="R121" s="4">
        <v>95.710181872321201</v>
      </c>
      <c r="S121" s="4">
        <v>6.5270449561586839</v>
      </c>
      <c r="T121" s="1237" t="str">
        <f>IF(       0.05&lt;0.01,"***",IF(       0.05&lt;0.05,"**",IF(       0.05&lt;0.1,"*","NS")))</f>
        <v>*</v>
      </c>
    </row>
    <row r="122" spans="1:20" x14ac:dyDescent="0.2">
      <c r="A122" s="296" t="s">
        <v>5339</v>
      </c>
      <c r="B122" s="4">
        <v>75.652784782954583</v>
      </c>
      <c r="C122" s="4">
        <v>85.481123019390424</v>
      </c>
      <c r="D122" s="4">
        <v>9.828338236435874</v>
      </c>
      <c r="E122" s="1238" t="str">
        <f>IF(       0.017&lt;0.01,"***",IF(       0.017&lt;0.05,"**",IF(       0.017&lt;0.1,"*","NS")))</f>
        <v>**</v>
      </c>
      <c r="G122" s="296" t="s">
        <v>5379</v>
      </c>
      <c r="H122" s="4">
        <v>75.652784782954583</v>
      </c>
      <c r="I122" s="4">
        <v>82.763427357228721</v>
      </c>
      <c r="J122" s="4">
        <v>7.1106425742741193</v>
      </c>
      <c r="K122" s="1239" t="str">
        <f>IF(       0.109&lt;0.01,"***",IF(       0.109&lt;0.05,"**",IF(       0.109&lt;0.1,"*","NS")))</f>
        <v>NS</v>
      </c>
      <c r="L122" s="4">
        <v>91.155813688184992</v>
      </c>
      <c r="M122" s="4">
        <v>15.503028905230407</v>
      </c>
      <c r="N122" s="1240" t="str">
        <f>IF(       0.001&lt;0.01,"***",IF(       0.001&lt;0.05,"**",IF(       0.001&lt;0.1,"*","NS")))</f>
        <v>***</v>
      </c>
      <c r="P122" s="296" t="s">
        <v>5425</v>
      </c>
      <c r="Q122" s="4">
        <v>79.74685192774642</v>
      </c>
      <c r="R122" s="4">
        <v>91.155813688184992</v>
      </c>
      <c r="S122" s="4">
        <v>11.408961760438617</v>
      </c>
      <c r="T122" s="1241" t="str">
        <f>IF(       0.002&lt;0.01,"***",IF(       0.002&lt;0.05,"**",IF(       0.002&lt;0.1,"*","NS")))</f>
        <v>***</v>
      </c>
    </row>
    <row r="123" spans="1:20" x14ac:dyDescent="0.2">
      <c r="A123" s="296" t="s">
        <v>5340</v>
      </c>
      <c r="B123" s="4" t="s">
        <v>6067</v>
      </c>
      <c r="C123" s="4" t="s">
        <v>6067</v>
      </c>
      <c r="D123" s="4" t="s">
        <v>6067</v>
      </c>
      <c r="E123" s="4" t="s">
        <v>6067</v>
      </c>
      <c r="G123" s="296" t="s">
        <v>5380</v>
      </c>
      <c r="H123" s="4" t="s">
        <v>6067</v>
      </c>
      <c r="I123" s="4" t="s">
        <v>6067</v>
      </c>
      <c r="J123" s="4" t="s">
        <v>6067</v>
      </c>
      <c r="K123" s="4" t="s">
        <v>6067</v>
      </c>
      <c r="L123" s="4" t="s">
        <v>6067</v>
      </c>
      <c r="M123" s="4" t="s">
        <v>6067</v>
      </c>
      <c r="N123" s="4" t="s">
        <v>6067</v>
      </c>
      <c r="P123" s="296" t="s">
        <v>5426</v>
      </c>
      <c r="Q123" s="4" t="s">
        <v>6067</v>
      </c>
      <c r="R123" s="4" t="s">
        <v>6067</v>
      </c>
      <c r="S123" s="4" t="s">
        <v>6067</v>
      </c>
      <c r="T123" s="4" t="s">
        <v>6067</v>
      </c>
    </row>
    <row r="124" spans="1:20" x14ac:dyDescent="0.2">
      <c r="A124" s="296" t="s">
        <v>5341</v>
      </c>
      <c r="B124" s="4">
        <v>99.644365051371992</v>
      </c>
      <c r="C124" s="4">
        <v>99.255669865662142</v>
      </c>
      <c r="D124" s="4">
        <v>-0.38869518570984884</v>
      </c>
      <c r="E124" s="1242" t="str">
        <f>IF(       0.329&lt;0.01,"***",IF(       0.329&lt;0.05,"**",IF(       0.329&lt;0.1,"*","NS")))</f>
        <v>NS</v>
      </c>
      <c r="G124" s="296" t="s">
        <v>5381</v>
      </c>
      <c r="H124" s="4">
        <v>99.644365051371992</v>
      </c>
      <c r="I124" s="4">
        <v>98.972908004027119</v>
      </c>
      <c r="J124" s="4">
        <v>-0.67145704734487044</v>
      </c>
      <c r="K124" s="1243" t="str">
        <f>IF(       0.223&lt;0.01,"***",IF(       0.223&lt;0.05,"**",IF(       0.223&lt;0.1,"*","NS")))</f>
        <v>NS</v>
      </c>
      <c r="L124" s="4">
        <v>100</v>
      </c>
      <c r="M124" s="4">
        <v>0.35563494862801381</v>
      </c>
      <c r="N124" s="1244" t="str">
        <f>IF(       0.195&lt;0.01,"***",IF(       0.195&lt;0.05,"**",IF(       0.195&lt;0.1,"*","NS")))</f>
        <v>NS</v>
      </c>
      <c r="P124" s="296" t="s">
        <v>5427</v>
      </c>
      <c r="Q124" s="4">
        <v>99.366257999898608</v>
      </c>
      <c r="R124" s="4">
        <v>100</v>
      </c>
      <c r="S124" s="4">
        <v>0.63374200010138937</v>
      </c>
      <c r="T124" s="1245" t="str">
        <f>IF(       0.084&lt;0.01,"***",IF(       0.084&lt;0.05,"**",IF(       0.084&lt;0.1,"*","NS")))</f>
        <v>*</v>
      </c>
    </row>
    <row r="125" spans="1:20" x14ac:dyDescent="0.2">
      <c r="A125" s="296" t="s">
        <v>5342</v>
      </c>
      <c r="B125" s="4">
        <v>77.832712233767978</v>
      </c>
      <c r="C125" s="4">
        <v>93.457790746198469</v>
      </c>
      <c r="D125" s="4">
        <v>15.625078512430569</v>
      </c>
      <c r="E125" s="1246" t="str">
        <f>IF(       0.002&lt;0.01,"***",IF(       0.002&lt;0.05,"**",IF(       0.002&lt;0.1,"*","NS")))</f>
        <v>***</v>
      </c>
      <c r="G125" s="296" t="s">
        <v>5382</v>
      </c>
      <c r="H125" s="4">
        <v>77.832712233767978</v>
      </c>
      <c r="I125" s="4">
        <v>91.898599132419022</v>
      </c>
      <c r="J125" s="4">
        <v>14.065886898651005</v>
      </c>
      <c r="K125" s="1247" t="str">
        <f>IF(       0.005&lt;0.01,"***",IF(       0.005&lt;0.05,"**",IF(       0.005&lt;0.1,"*","NS")))</f>
        <v>***</v>
      </c>
      <c r="L125" s="4">
        <v>95.143577829979051</v>
      </c>
      <c r="M125" s="4">
        <v>17.310865596211116</v>
      </c>
      <c r="N125" s="1248" t="str">
        <f>IF(       0.001&lt;0.01,"***",IF(       0.001&lt;0.05,"**",IF(       0.001&lt;0.1,"*","NS")))</f>
        <v>***</v>
      </c>
      <c r="P125" s="296" t="s">
        <v>5428</v>
      </c>
      <c r="Q125" s="4">
        <v>87.218532386552823</v>
      </c>
      <c r="R125" s="4">
        <v>95.143577829979051</v>
      </c>
      <c r="S125" s="4">
        <v>7.9250454434262094</v>
      </c>
      <c r="T125" s="1249" t="str">
        <f>IF(       0.005&lt;0.01,"***",IF(       0.005&lt;0.05,"**",IF(       0.005&lt;0.1,"*","NS")))</f>
        <v>***</v>
      </c>
    </row>
    <row r="126" spans="1:20" x14ac:dyDescent="0.2">
      <c r="A126" s="296" t="s">
        <v>5343</v>
      </c>
      <c r="B126" s="4">
        <v>92.227481844275601</v>
      </c>
      <c r="C126" s="4">
        <v>96.84223299810624</v>
      </c>
      <c r="D126" s="4">
        <v>4.6147511538306603</v>
      </c>
      <c r="E126" s="1250" t="str">
        <f>IF(       0.061&lt;0.01,"***",IF(       0.061&lt;0.05,"**",IF(       0.061&lt;0.1,"*","NS")))</f>
        <v>*</v>
      </c>
      <c r="G126" s="296" t="s">
        <v>5383</v>
      </c>
      <c r="H126" s="4">
        <v>92.227481844275601</v>
      </c>
      <c r="I126" s="4">
        <v>95.602055753697286</v>
      </c>
      <c r="J126" s="4">
        <v>3.3745739094216893</v>
      </c>
      <c r="K126" s="1251" t="str">
        <f>IF(       0.199&lt;0.01,"***",IF(       0.199&lt;0.05,"**",IF(       0.199&lt;0.1,"*","NS")))</f>
        <v>NS</v>
      </c>
      <c r="L126" s="4">
        <v>98.955515635064998</v>
      </c>
      <c r="M126" s="4">
        <v>6.7280337907894054</v>
      </c>
      <c r="N126" s="1252" t="str">
        <f>IF(       0.009&lt;0.01,"***",IF(       0.009&lt;0.05,"**",IF(       0.009&lt;0.1,"*","NS")))</f>
        <v>***</v>
      </c>
      <c r="P126" s="296" t="s">
        <v>5429</v>
      </c>
      <c r="Q126" s="4">
        <v>94.471120545195333</v>
      </c>
      <c r="R126" s="4">
        <v>98.955515635064998</v>
      </c>
      <c r="S126" s="4">
        <v>4.4843950898696878</v>
      </c>
      <c r="T126" s="1253" t="str">
        <f>IF(       0.007&lt;0.01,"***",IF(       0.007&lt;0.05,"**",IF(       0.007&lt;0.1,"*","NS")))</f>
        <v>***</v>
      </c>
    </row>
    <row r="127" spans="1:20" x14ac:dyDescent="0.2">
      <c r="A127" s="296" t="s">
        <v>5344</v>
      </c>
      <c r="B127" s="4">
        <v>66.797208999217972</v>
      </c>
      <c r="C127" s="4">
        <v>83.417100434103219</v>
      </c>
      <c r="D127" s="4">
        <v>16.619891434885176</v>
      </c>
      <c r="E127" s="1254" t="str">
        <f>IF(       0&lt;0.01,"***",IF(       0&lt;0.05,"**",IF(       0&lt;0.1,"*","NS")))</f>
        <v>***</v>
      </c>
      <c r="G127" s="296" t="s">
        <v>5384</v>
      </c>
      <c r="H127" s="4">
        <v>66.797208999217972</v>
      </c>
      <c r="I127" s="4">
        <v>83.880419815300854</v>
      </c>
      <c r="J127" s="4">
        <v>17.083210816082889</v>
      </c>
      <c r="K127" s="1255" t="str">
        <f>IF(       0.001&lt;0.01,"***",IF(       0.001&lt;0.05,"**",IF(       0.001&lt;0.1,"*","NS")))</f>
        <v>***</v>
      </c>
      <c r="L127" s="4">
        <v>82.487387576441137</v>
      </c>
      <c r="M127" s="4">
        <v>15.690178577223161</v>
      </c>
      <c r="N127" s="1256" t="str">
        <f>IF(       0.005&lt;0.01,"***",IF(       0.005&lt;0.05,"**",IF(       0.005&lt;0.1,"*","NS")))</f>
        <v>***</v>
      </c>
      <c r="P127" s="296" t="s">
        <v>5430</v>
      </c>
      <c r="Q127" s="4">
        <v>76.688836651113093</v>
      </c>
      <c r="R127" s="4">
        <v>82.487387576441137</v>
      </c>
      <c r="S127" s="4">
        <v>5.7985509253280689</v>
      </c>
      <c r="T127" s="1257" t="str">
        <f>IF(       0.212&lt;0.01,"***",IF(       0.212&lt;0.05,"**",IF(       0.212&lt;0.1,"*","NS")))</f>
        <v>NS</v>
      </c>
    </row>
    <row r="128" spans="1:20" x14ac:dyDescent="0.2">
      <c r="A128" s="296" t="s">
        <v>5345</v>
      </c>
      <c r="B128" s="4">
        <v>55.05048254039211</v>
      </c>
      <c r="C128" s="4">
        <v>76.147904565388757</v>
      </c>
      <c r="D128" s="4">
        <v>21.097422024996565</v>
      </c>
      <c r="E128" s="1258" t="str">
        <f>IF(       0&lt;0.01,"***",IF(       0&lt;0.05,"**",IF(       0&lt;0.1,"*","NS")))</f>
        <v>***</v>
      </c>
      <c r="G128" s="296" t="s">
        <v>5385</v>
      </c>
      <c r="H128" s="4">
        <v>55.05048254039211</v>
      </c>
      <c r="I128" s="4">
        <v>71.020772295958949</v>
      </c>
      <c r="J128" s="4">
        <v>15.970289755566872</v>
      </c>
      <c r="K128" s="1259" t="str">
        <f>IF(       0.001&lt;0.01,"***",IF(       0.001&lt;0.05,"**",IF(       0.001&lt;0.1,"*","NS")))</f>
        <v>***</v>
      </c>
      <c r="L128" s="4">
        <v>85.571422376713144</v>
      </c>
      <c r="M128" s="4">
        <v>30.520939836321084</v>
      </c>
      <c r="N128" s="1260" t="str">
        <f>IF(       0&lt;0.01,"***",IF(       0&lt;0.05,"**",IF(       0&lt;0.1,"*","NS")))</f>
        <v>***</v>
      </c>
      <c r="P128" s="296" t="s">
        <v>5431</v>
      </c>
      <c r="Q128" s="4">
        <v>64.020524309835679</v>
      </c>
      <c r="R128" s="4">
        <v>85.571422376713144</v>
      </c>
      <c r="S128" s="4">
        <v>21.550898066877533</v>
      </c>
      <c r="T128" s="1261" t="str">
        <f>IF(       0&lt;0.01,"***",IF(       0&lt;0.05,"**",IF(       0&lt;0.1,"*","NS")))</f>
        <v>***</v>
      </c>
    </row>
    <row r="129" spans="1:20" x14ac:dyDescent="0.2">
      <c r="A129" s="296" t="s">
        <v>5346</v>
      </c>
      <c r="B129" s="4">
        <v>85.785645850918343</v>
      </c>
      <c r="C129" s="4">
        <v>88.767195403271671</v>
      </c>
      <c r="D129" s="4">
        <v>2.9815495523533264</v>
      </c>
      <c r="E129" s="1262" t="str">
        <f>IF(       0.403&lt;0.01,"***",IF(       0.403&lt;0.05,"**",IF(       0.403&lt;0.1,"*","NS")))</f>
        <v>NS</v>
      </c>
      <c r="G129" s="296" t="s">
        <v>5386</v>
      </c>
      <c r="H129" s="4">
        <v>85.785645850918343</v>
      </c>
      <c r="I129" s="4">
        <v>87.698341315510007</v>
      </c>
      <c r="J129" s="4">
        <v>1.9126954645916643</v>
      </c>
      <c r="K129" s="1263" t="str">
        <f>IF(       0.589&lt;0.01,"***",IF(       0.589&lt;0.05,"**",IF(       0.589&lt;0.1,"*","NS")))</f>
        <v>NS</v>
      </c>
      <c r="L129" s="4">
        <v>91.505662763112724</v>
      </c>
      <c r="M129" s="4">
        <v>5.7200169121943762</v>
      </c>
      <c r="N129" s="1264" t="str">
        <f>IF(       0.235&lt;0.01,"***",IF(       0.235&lt;0.05,"**",IF(       0.235&lt;0.1,"*","NS")))</f>
        <v>NS</v>
      </c>
      <c r="P129" s="296" t="s">
        <v>5432</v>
      </c>
      <c r="Q129" s="4">
        <v>86.79624131594862</v>
      </c>
      <c r="R129" s="4">
        <v>91.505662763112724</v>
      </c>
      <c r="S129" s="4">
        <v>4.7094214471640994</v>
      </c>
      <c r="T129" s="1265" t="str">
        <f>IF(       0.225&lt;0.01,"***",IF(       0.225&lt;0.05,"**",IF(       0.225&lt;0.1,"*","NS")))</f>
        <v>NS</v>
      </c>
    </row>
    <row r="130" spans="1:20" x14ac:dyDescent="0.2">
      <c r="A130" s="296" t="s">
        <v>5347</v>
      </c>
      <c r="B130" s="4">
        <v>88.872131741683205</v>
      </c>
      <c r="C130" s="4">
        <v>94.804615470170944</v>
      </c>
      <c r="D130" s="4">
        <v>5.9324837284877194</v>
      </c>
      <c r="E130" s="1266" t="str">
        <f>IF(       0.012&lt;0.01,"***",IF(       0.012&lt;0.05,"**",IF(       0.012&lt;0.1,"*","NS")))</f>
        <v>**</v>
      </c>
      <c r="G130" s="296" t="s">
        <v>5387</v>
      </c>
      <c r="H130" s="4">
        <v>88.872131741683205</v>
      </c>
      <c r="I130" s="4">
        <v>92.039108325954004</v>
      </c>
      <c r="J130" s="4">
        <v>3.166976584270782</v>
      </c>
      <c r="K130" s="1267" t="str">
        <f>IF(       0.234&lt;0.01,"***",IF(       0.234&lt;0.05,"**",IF(       0.234&lt;0.1,"*","NS")))</f>
        <v>NS</v>
      </c>
      <c r="L130" s="4">
        <v>98.163239985799706</v>
      </c>
      <c r="M130" s="4">
        <v>9.2911082441165096</v>
      </c>
      <c r="N130" s="1268" t="str">
        <f>IF(       0.001&lt;0.01,"***",IF(       0.001&lt;0.05,"**",IF(       0.001&lt;0.1,"*","NS")))</f>
        <v>***</v>
      </c>
      <c r="P130" s="296" t="s">
        <v>5433</v>
      </c>
      <c r="Q130" s="4">
        <v>90.896124424626464</v>
      </c>
      <c r="R130" s="4">
        <v>98.163239985799706</v>
      </c>
      <c r="S130" s="4">
        <v>7.2671155611732745</v>
      </c>
      <c r="T130" s="1269" t="str">
        <f>IF(       0.001&lt;0.01,"***",IF(       0.001&lt;0.05,"**",IF(       0.001&lt;0.1,"*","NS")))</f>
        <v>***</v>
      </c>
    </row>
    <row r="131" spans="1:20" x14ac:dyDescent="0.2">
      <c r="A131" s="296" t="s">
        <v>5348</v>
      </c>
      <c r="B131" s="4">
        <v>95.328528023832646</v>
      </c>
      <c r="C131" s="4">
        <v>96.649381805590124</v>
      </c>
      <c r="D131" s="4">
        <v>1.3208537817574761</v>
      </c>
      <c r="E131" s="1270" t="str">
        <f>IF(       0.455&lt;0.01,"***",IF(       0.455&lt;0.05,"**",IF(       0.455&lt;0.1,"*","NS")))</f>
        <v>NS</v>
      </c>
      <c r="G131" s="296" t="s">
        <v>5388</v>
      </c>
      <c r="H131" s="4">
        <v>95.328528023832646</v>
      </c>
      <c r="I131" s="4">
        <v>96.288716001158647</v>
      </c>
      <c r="J131" s="4">
        <v>0.96018797732600814</v>
      </c>
      <c r="K131" s="1271" t="str">
        <f>IF(       0.574&lt;0.01,"***",IF(       0.574&lt;0.05,"**",IF(       0.574&lt;0.1,"*","NS")))</f>
        <v>NS</v>
      </c>
      <c r="L131" s="4">
        <v>97.3658029923795</v>
      </c>
      <c r="M131" s="4">
        <v>2.0372749685468552</v>
      </c>
      <c r="N131" s="1272" t="str">
        <f>IF(       0.37&lt;0.01,"***",IF(       0.37&lt;0.05,"**",IF(       0.37&lt;0.1,"*","NS")))</f>
        <v>NS</v>
      </c>
      <c r="P131" s="296" t="s">
        <v>5434</v>
      </c>
      <c r="Q131" s="4">
        <v>95.83938684811487</v>
      </c>
      <c r="R131" s="4">
        <v>97.3658029923795</v>
      </c>
      <c r="S131" s="4">
        <v>1.526416144264634</v>
      </c>
      <c r="T131" s="1273" t="str">
        <f>IF(       0.376&lt;0.01,"***",IF(       0.376&lt;0.05,"**",IF(       0.376&lt;0.1,"*","NS")))</f>
        <v>NS</v>
      </c>
    </row>
    <row r="132" spans="1:20" x14ac:dyDescent="0.2">
      <c r="A132" s="296" t="s">
        <v>5835</v>
      </c>
      <c r="B132" s="4">
        <v>78.443082678240231</v>
      </c>
      <c r="C132" s="4">
        <v>88.602407916337967</v>
      </c>
      <c r="D132" s="4">
        <v>10.159325238097871</v>
      </c>
      <c r="E132" s="1274" t="str">
        <f>IF(       0&lt;0.01,"***",IF(       0&lt;0.05,"**",IF(       0&lt;0.1,"*","NS")))</f>
        <v>***</v>
      </c>
      <c r="G132" s="296" t="s">
        <v>5835</v>
      </c>
      <c r="H132" s="4">
        <v>78.443082678240231</v>
      </c>
      <c r="I132" s="4">
        <v>86.55662364110519</v>
      </c>
      <c r="J132" s="4">
        <v>8.113540962864958</v>
      </c>
      <c r="K132" s="1275" t="str">
        <f>IF(       0&lt;0.01,"***",IF(       0&lt;0.05,"**",IF(       0&lt;0.1,"*","NS")))</f>
        <v>***</v>
      </c>
      <c r="L132" s="4">
        <v>92.516578717543041</v>
      </c>
      <c r="M132" s="4">
        <v>14.073496039302785</v>
      </c>
      <c r="N132" s="1276" t="str">
        <f>IF(       0&lt;0.01,"***",IF(       0&lt;0.05,"**",IF(       0&lt;0.1,"*","NS")))</f>
        <v>***</v>
      </c>
      <c r="P132" s="296" t="s">
        <v>5835</v>
      </c>
      <c r="Q132" s="4">
        <v>83.050882027133014</v>
      </c>
      <c r="R132" s="4">
        <v>92.516578717543041</v>
      </c>
      <c r="S132" s="4">
        <v>9.4656966904099296</v>
      </c>
      <c r="T132" s="1277" t="str">
        <f>IF(       0&lt;0.01,"***",IF(       0&lt;0.05,"**",IF(       0&lt;0.1,"*","NS")))</f>
        <v>***</v>
      </c>
    </row>
  </sheetData>
  <pageMargins left="0.7" right="0.7" top="0.75" bottom="0.75" header="0.3" footer="0.3"/>
  <tableParts count="21">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E3AB6-B135-4D87-8014-1EEE7528C261}">
  <dimension ref="A1:D132"/>
  <sheetViews>
    <sheetView zoomScaleNormal="100" workbookViewId="0">
      <selection activeCell="B11" sqref="B11"/>
    </sheetView>
  </sheetViews>
  <sheetFormatPr baseColWidth="10" defaultColWidth="8.83203125" defaultRowHeight="15" x14ac:dyDescent="0.2"/>
  <cols>
    <col min="1" max="1" width="15.83203125" style="296" customWidth="1"/>
    <col min="2" max="4" width="15.83203125" style="4" customWidth="1"/>
  </cols>
  <sheetData>
    <row r="1" spans="1:4" x14ac:dyDescent="0.2">
      <c r="A1" s="296" t="s">
        <v>5795</v>
      </c>
    </row>
    <row r="2" spans="1:4" x14ac:dyDescent="0.2">
      <c r="A2" s="297" t="s">
        <v>5814</v>
      </c>
      <c r="B2" s="298" t="s">
        <v>5796</v>
      </c>
      <c r="C2" s="299" t="s">
        <v>5797</v>
      </c>
      <c r="D2" s="300" t="s">
        <v>5798</v>
      </c>
    </row>
    <row r="3" spans="1:4" x14ac:dyDescent="0.2">
      <c r="A3" s="296" t="s">
        <v>5799</v>
      </c>
      <c r="B3" s="5">
        <v>41.201076555814268</v>
      </c>
      <c r="C3" s="6">
        <v>32.794182113625723</v>
      </c>
      <c r="D3" s="7">
        <v>8.406894442188543</v>
      </c>
    </row>
    <row r="4" spans="1:4" x14ac:dyDescent="0.2">
      <c r="A4" s="296" t="s">
        <v>5800</v>
      </c>
      <c r="B4" s="8">
        <v>35.842945046432391</v>
      </c>
      <c r="C4" s="9">
        <v>25.945191171923007</v>
      </c>
      <c r="D4" s="10">
        <v>9.897753874509382</v>
      </c>
    </row>
    <row r="5" spans="1:4" x14ac:dyDescent="0.2">
      <c r="A5" s="296" t="s">
        <v>5801</v>
      </c>
      <c r="B5" s="11">
        <v>29.239057245223847</v>
      </c>
      <c r="C5" s="12">
        <v>21.953776980752167</v>
      </c>
      <c r="D5" s="13">
        <v>7.2852802644716794</v>
      </c>
    </row>
    <row r="6" spans="1:4" x14ac:dyDescent="0.2">
      <c r="A6" s="296" t="s">
        <v>5802</v>
      </c>
      <c r="B6" s="14">
        <v>34.360031137651958</v>
      </c>
      <c r="C6" s="15">
        <v>27.179155903241195</v>
      </c>
      <c r="D6" s="16">
        <v>7.180875234410764</v>
      </c>
    </row>
    <row r="7" spans="1:4" x14ac:dyDescent="0.2">
      <c r="A7" s="296" t="s">
        <v>5803</v>
      </c>
      <c r="B7" s="17">
        <v>30.307851105677955</v>
      </c>
      <c r="C7" s="18">
        <v>25.022451574044581</v>
      </c>
      <c r="D7" s="19">
        <v>5.2853995316333764</v>
      </c>
    </row>
    <row r="8" spans="1:4" x14ac:dyDescent="0.2">
      <c r="A8" s="296" t="s">
        <v>5804</v>
      </c>
      <c r="B8" s="20">
        <v>33.899933618740093</v>
      </c>
      <c r="C8" s="21">
        <v>25.712929129109838</v>
      </c>
      <c r="D8" s="22">
        <v>8.187004489630251</v>
      </c>
    </row>
    <row r="9" spans="1:4" x14ac:dyDescent="0.2">
      <c r="A9" s="296" t="s">
        <v>5805</v>
      </c>
      <c r="B9" s="23">
        <v>17.469061794824313</v>
      </c>
      <c r="C9" s="24">
        <v>14.367439664973224</v>
      </c>
      <c r="D9" s="25">
        <v>3.1016221298510915</v>
      </c>
    </row>
    <row r="10" spans="1:4" x14ac:dyDescent="0.2">
      <c r="A10" s="296" t="s">
        <v>5806</v>
      </c>
      <c r="B10" s="26">
        <v>22.875056498998866</v>
      </c>
      <c r="C10" s="27">
        <v>17.520587593654714</v>
      </c>
      <c r="D10" s="28">
        <v>5.3544689053441523</v>
      </c>
    </row>
    <row r="11" spans="1:4" x14ac:dyDescent="0.2">
      <c r="A11" s="296" t="s">
        <v>5807</v>
      </c>
      <c r="B11" s="29">
        <v>45.566107478769119</v>
      </c>
      <c r="C11" s="30">
        <v>28.018555790953702</v>
      </c>
      <c r="D11" s="31">
        <v>17.547551687815417</v>
      </c>
    </row>
    <row r="12" spans="1:4" x14ac:dyDescent="0.2">
      <c r="A12" s="296" t="s">
        <v>5808</v>
      </c>
      <c r="B12" s="32">
        <v>45.112583222075052</v>
      </c>
      <c r="C12" s="33">
        <v>34.497930344104695</v>
      </c>
      <c r="D12" s="34">
        <v>10.614652877970361</v>
      </c>
    </row>
    <row r="13" spans="1:4" x14ac:dyDescent="0.2">
      <c r="A13" s="296" t="s">
        <v>5809</v>
      </c>
      <c r="B13" s="35">
        <v>30.114692234531233</v>
      </c>
      <c r="C13" s="36">
        <v>21.98171922065433</v>
      </c>
      <c r="D13" s="37">
        <v>8.1329730138769012</v>
      </c>
    </row>
    <row r="14" spans="1:4" x14ac:dyDescent="0.2">
      <c r="A14" s="296" t="s">
        <v>5810</v>
      </c>
      <c r="B14" s="38">
        <v>27.073054872177924</v>
      </c>
      <c r="C14" s="39">
        <v>20.212278519611459</v>
      </c>
      <c r="D14" s="40">
        <v>6.8607763525664653</v>
      </c>
    </row>
    <row r="15" spans="1:4" x14ac:dyDescent="0.2">
      <c r="A15" s="296" t="s">
        <v>5811</v>
      </c>
      <c r="B15" s="41">
        <v>27.798077156965768</v>
      </c>
      <c r="C15" s="42">
        <v>20.960509726742821</v>
      </c>
      <c r="D15" s="43">
        <v>6.8375674302229461</v>
      </c>
    </row>
    <row r="16" spans="1:4" x14ac:dyDescent="0.2">
      <c r="A16" s="296" t="s">
        <v>5812</v>
      </c>
      <c r="B16" s="44">
        <v>41.684339883220602</v>
      </c>
      <c r="C16" s="45">
        <v>28.713048426045088</v>
      </c>
      <c r="D16" s="46">
        <v>12.971291457175516</v>
      </c>
    </row>
    <row r="17" spans="1:4" x14ac:dyDescent="0.2">
      <c r="A17" s="296" t="s">
        <v>5813</v>
      </c>
      <c r="B17" s="47">
        <v>31.612079099153835</v>
      </c>
      <c r="C17" s="48">
        <v>24.020850242547354</v>
      </c>
      <c r="D17" s="49">
        <v>7.5912288566064809</v>
      </c>
    </row>
    <row r="18" spans="1:4" x14ac:dyDescent="0.2">
      <c r="A18" s="296" t="s">
        <v>5835</v>
      </c>
      <c r="B18" s="4">
        <v>32.818158157904769</v>
      </c>
      <c r="C18" s="4">
        <v>24.486032706781749</v>
      </c>
      <c r="D18" s="4">
        <v>8.3321254511230176</v>
      </c>
    </row>
    <row r="20" spans="1:4" x14ac:dyDescent="0.2">
      <c r="A20" s="296" t="s">
        <v>5815</v>
      </c>
    </row>
    <row r="21" spans="1:4" x14ac:dyDescent="0.2">
      <c r="A21" s="301" t="s">
        <v>5834</v>
      </c>
      <c r="B21" s="302" t="s">
        <v>5816</v>
      </c>
      <c r="C21" s="303" t="s">
        <v>5817</v>
      </c>
      <c r="D21" s="304" t="s">
        <v>5818</v>
      </c>
    </row>
    <row r="22" spans="1:4" x14ac:dyDescent="0.2">
      <c r="A22" s="296" t="s">
        <v>5819</v>
      </c>
      <c r="B22" s="50">
        <v>43.726660601720354</v>
      </c>
      <c r="C22" s="51">
        <v>33.880241444665337</v>
      </c>
      <c r="D22" s="52">
        <v>9.8464191570550188</v>
      </c>
    </row>
    <row r="23" spans="1:4" x14ac:dyDescent="0.2">
      <c r="A23" s="296" t="s">
        <v>5820</v>
      </c>
      <c r="B23" s="53">
        <v>40.836905933048079</v>
      </c>
      <c r="C23" s="54">
        <v>29.412430053077962</v>
      </c>
      <c r="D23" s="55">
        <v>11.424475879970119</v>
      </c>
    </row>
    <row r="24" spans="1:4" x14ac:dyDescent="0.2">
      <c r="A24" s="296" t="s">
        <v>5821</v>
      </c>
      <c r="B24" s="56">
        <v>29.838811678868048</v>
      </c>
      <c r="C24" s="57">
        <v>21.715173513331305</v>
      </c>
      <c r="D24" s="58">
        <v>8.1236381655367431</v>
      </c>
    </row>
    <row r="25" spans="1:4" x14ac:dyDescent="0.2">
      <c r="A25" s="296" t="s">
        <v>5822</v>
      </c>
      <c r="B25" s="59">
        <v>36.014873790466609</v>
      </c>
      <c r="C25" s="60">
        <v>28.040690361760277</v>
      </c>
      <c r="D25" s="61">
        <v>7.9741834287063336</v>
      </c>
    </row>
    <row r="26" spans="1:4" x14ac:dyDescent="0.2">
      <c r="A26" s="296" t="s">
        <v>5823</v>
      </c>
      <c r="B26" s="62">
        <v>30.928559540428871</v>
      </c>
      <c r="C26" s="63">
        <v>25.22590858503558</v>
      </c>
      <c r="D26" s="64">
        <v>5.7026509553932927</v>
      </c>
    </row>
    <row r="27" spans="1:4" x14ac:dyDescent="0.2">
      <c r="A27" s="296" t="s">
        <v>5824</v>
      </c>
      <c r="B27" s="65">
        <v>35.448300118192591</v>
      </c>
      <c r="C27" s="66">
        <v>26.364258358640239</v>
      </c>
      <c r="D27" s="67">
        <v>9.0840417595523526</v>
      </c>
    </row>
    <row r="28" spans="1:4" x14ac:dyDescent="0.2">
      <c r="A28" s="296" t="s">
        <v>5825</v>
      </c>
      <c r="B28" s="68">
        <v>18.760686570005067</v>
      </c>
      <c r="C28" s="69">
        <v>15.210671225393195</v>
      </c>
      <c r="D28" s="70">
        <v>3.5500153446118707</v>
      </c>
    </row>
    <row r="29" spans="1:4" x14ac:dyDescent="0.2">
      <c r="A29" s="296" t="s">
        <v>5826</v>
      </c>
      <c r="B29" s="71">
        <v>25.04851732581831</v>
      </c>
      <c r="C29" s="72">
        <v>19.473959021505035</v>
      </c>
      <c r="D29" s="73">
        <v>5.5745583043132738</v>
      </c>
    </row>
    <row r="30" spans="1:4" x14ac:dyDescent="0.2">
      <c r="A30" s="296" t="s">
        <v>5827</v>
      </c>
      <c r="B30" s="74">
        <v>50.353262957231841</v>
      </c>
      <c r="C30" s="75">
        <v>30.166382164155323</v>
      </c>
      <c r="D30" s="76">
        <v>20.186880793076519</v>
      </c>
    </row>
    <row r="31" spans="1:4" x14ac:dyDescent="0.2">
      <c r="A31" s="296" t="s">
        <v>5828</v>
      </c>
      <c r="B31" s="77">
        <v>47.20648080214977</v>
      </c>
      <c r="C31" s="78">
        <v>36.143213398360921</v>
      </c>
      <c r="D31" s="79">
        <v>11.063267403788847</v>
      </c>
    </row>
    <row r="32" spans="1:4" x14ac:dyDescent="0.2">
      <c r="A32" s="296" t="s">
        <v>5829</v>
      </c>
      <c r="B32" s="80">
        <v>32.947112143525395</v>
      </c>
      <c r="C32" s="81">
        <v>23.774300308789094</v>
      </c>
      <c r="D32" s="82">
        <v>9.1728118347362972</v>
      </c>
    </row>
    <row r="33" spans="1:4" x14ac:dyDescent="0.2">
      <c r="A33" s="296" t="s">
        <v>5830</v>
      </c>
      <c r="B33" s="83">
        <v>29.389362824880561</v>
      </c>
      <c r="C33" s="84">
        <v>21.579627534233346</v>
      </c>
      <c r="D33" s="85">
        <v>7.8097352906472146</v>
      </c>
    </row>
    <row r="34" spans="1:4" x14ac:dyDescent="0.2">
      <c r="A34" s="296" t="s">
        <v>5831</v>
      </c>
      <c r="B34" s="86">
        <v>30.287422736115918</v>
      </c>
      <c r="C34" s="87">
        <v>23.263988248551563</v>
      </c>
      <c r="D34" s="88">
        <v>7.0234344875643533</v>
      </c>
    </row>
    <row r="35" spans="1:4" x14ac:dyDescent="0.2">
      <c r="A35" s="296" t="s">
        <v>5832</v>
      </c>
      <c r="B35" s="89">
        <v>43.105825018996711</v>
      </c>
      <c r="C35" s="90">
        <v>28.839721873648603</v>
      </c>
      <c r="D35" s="91">
        <v>14.266103145348104</v>
      </c>
    </row>
    <row r="36" spans="1:4" x14ac:dyDescent="0.2">
      <c r="A36" s="296" t="s">
        <v>5833</v>
      </c>
      <c r="B36" s="92">
        <v>32.499511117368492</v>
      </c>
      <c r="C36" s="93">
        <v>25.396038552957453</v>
      </c>
      <c r="D36" s="94">
        <v>7.103472564411037</v>
      </c>
    </row>
    <row r="37" spans="1:4" x14ac:dyDescent="0.2">
      <c r="A37" s="296" t="s">
        <v>5835</v>
      </c>
      <c r="B37" s="4">
        <v>34.993852141061588</v>
      </c>
      <c r="C37" s="4">
        <v>25.79568191456794</v>
      </c>
      <c r="D37" s="4">
        <v>9.1981702264936498</v>
      </c>
    </row>
    <row r="39" spans="1:4" x14ac:dyDescent="0.2">
      <c r="A39" s="296" t="s">
        <v>5836</v>
      </c>
    </row>
    <row r="40" spans="1:4" x14ac:dyDescent="0.2">
      <c r="A40" s="305" t="s">
        <v>5855</v>
      </c>
      <c r="B40" s="306" t="s">
        <v>5837</v>
      </c>
      <c r="C40" s="307" t="s">
        <v>5838</v>
      </c>
      <c r="D40" s="308" t="s">
        <v>5839</v>
      </c>
    </row>
    <row r="41" spans="1:4" x14ac:dyDescent="0.2">
      <c r="A41" s="296" t="s">
        <v>5840</v>
      </c>
      <c r="B41" s="95">
        <v>38.318326872888662</v>
      </c>
      <c r="C41" s="96">
        <v>31.554533329310726</v>
      </c>
      <c r="D41" s="97">
        <v>6.7637935435779379</v>
      </c>
    </row>
    <row r="42" spans="1:4" x14ac:dyDescent="0.2">
      <c r="A42" s="296" t="s">
        <v>5841</v>
      </c>
      <c r="B42" s="98">
        <v>30.173065947408368</v>
      </c>
      <c r="C42" s="99">
        <v>22.008671501480354</v>
      </c>
      <c r="D42" s="100">
        <v>8.1643944459280142</v>
      </c>
    </row>
    <row r="43" spans="1:4" x14ac:dyDescent="0.2">
      <c r="A43" s="296" t="s">
        <v>5842</v>
      </c>
      <c r="B43" s="101">
        <v>28.59493761722727</v>
      </c>
      <c r="C43" s="102">
        <v>22.2100304872748</v>
      </c>
      <c r="D43" s="103">
        <v>6.3849071299524693</v>
      </c>
    </row>
    <row r="44" spans="1:4" x14ac:dyDescent="0.2">
      <c r="A44" s="296" t="s">
        <v>5843</v>
      </c>
      <c r="B44" s="104">
        <v>32.488302698689644</v>
      </c>
      <c r="C44" s="105">
        <v>26.204707641097702</v>
      </c>
      <c r="D44" s="106">
        <v>6.2835950575919419</v>
      </c>
    </row>
    <row r="45" spans="1:4" x14ac:dyDescent="0.2">
      <c r="A45" s="296" t="s">
        <v>5844</v>
      </c>
      <c r="B45" s="107">
        <v>29.647181922003494</v>
      </c>
      <c r="C45" s="108">
        <v>24.80589615150032</v>
      </c>
      <c r="D45" s="109">
        <v>4.8412857705031724</v>
      </c>
    </row>
    <row r="46" spans="1:4" x14ac:dyDescent="0.2">
      <c r="A46" s="296" t="s">
        <v>5845</v>
      </c>
      <c r="B46" s="110">
        <v>32.1484781522894</v>
      </c>
      <c r="C46" s="111">
        <v>24.97616936330277</v>
      </c>
      <c r="D46" s="112">
        <v>7.172308788986629</v>
      </c>
    </row>
    <row r="47" spans="1:4" x14ac:dyDescent="0.2">
      <c r="A47" s="296" t="s">
        <v>5846</v>
      </c>
      <c r="B47" s="113">
        <v>16.012102413248329</v>
      </c>
      <c r="C47" s="114">
        <v>13.416270133076539</v>
      </c>
      <c r="D47" s="115">
        <v>2.5958322801717908</v>
      </c>
    </row>
    <row r="48" spans="1:4" x14ac:dyDescent="0.2">
      <c r="A48" s="296" t="s">
        <v>5847</v>
      </c>
      <c r="B48" s="116">
        <v>20.330487763683525</v>
      </c>
      <c r="C48" s="117">
        <v>15.233687456126201</v>
      </c>
      <c r="D48" s="118">
        <v>5.0968003075573218</v>
      </c>
    </row>
    <row r="49" spans="1:4" x14ac:dyDescent="0.2">
      <c r="A49" s="296" t="s">
        <v>5848</v>
      </c>
      <c r="B49" s="119">
        <v>39.6292704553262</v>
      </c>
      <c r="C49" s="120">
        <v>25.354908205301168</v>
      </c>
      <c r="D49" s="121">
        <v>14.274362250025028</v>
      </c>
    </row>
    <row r="50" spans="1:4" x14ac:dyDescent="0.2">
      <c r="A50" s="296" t="s">
        <v>5849</v>
      </c>
      <c r="B50" s="122">
        <v>42.942886214423623</v>
      </c>
      <c r="C50" s="123">
        <v>32.793087779917784</v>
      </c>
      <c r="D50" s="124">
        <v>10.14979843450584</v>
      </c>
    </row>
    <row r="51" spans="1:4" x14ac:dyDescent="0.2">
      <c r="A51" s="296" t="s">
        <v>5850</v>
      </c>
      <c r="B51" s="125">
        <v>27.186781350087138</v>
      </c>
      <c r="C51" s="126">
        <v>20.128703831752389</v>
      </c>
      <c r="D51" s="127">
        <v>7.0580775183347493</v>
      </c>
    </row>
    <row r="52" spans="1:4" x14ac:dyDescent="0.2">
      <c r="A52" s="296" t="s">
        <v>5851</v>
      </c>
      <c r="B52" s="128">
        <v>24.416697699636064</v>
      </c>
      <c r="C52" s="129">
        <v>18.644193689560716</v>
      </c>
      <c r="D52" s="130">
        <v>5.7725040100753464</v>
      </c>
    </row>
    <row r="53" spans="1:4" x14ac:dyDescent="0.2">
      <c r="A53" s="296" t="s">
        <v>5852</v>
      </c>
      <c r="B53" s="131">
        <v>24.797459037379973</v>
      </c>
      <c r="C53" s="132">
        <v>18.183932843040044</v>
      </c>
      <c r="D53" s="133">
        <v>6.6135261943399302</v>
      </c>
    </row>
    <row r="54" spans="1:4" x14ac:dyDescent="0.2">
      <c r="A54" s="296" t="s">
        <v>5853</v>
      </c>
      <c r="B54" s="134">
        <v>40.159266040336149</v>
      </c>
      <c r="C54" s="135">
        <v>28.577143831149243</v>
      </c>
      <c r="D54" s="136">
        <v>11.582122209186904</v>
      </c>
    </row>
    <row r="55" spans="1:4" x14ac:dyDescent="0.2">
      <c r="A55" s="296" t="s">
        <v>5854</v>
      </c>
      <c r="B55" s="137">
        <v>30.499868901446206</v>
      </c>
      <c r="C55" s="138">
        <v>22.297339673609926</v>
      </c>
      <c r="D55" s="139">
        <v>8.2025292278362816</v>
      </c>
    </row>
    <row r="56" spans="1:4" x14ac:dyDescent="0.2">
      <c r="A56" s="296" t="s">
        <v>5856</v>
      </c>
      <c r="B56" s="4">
        <v>30.375405125836568</v>
      </c>
      <c r="C56" s="4">
        <v>23.015628505624921</v>
      </c>
      <c r="D56" s="4">
        <v>7.3597766202116519</v>
      </c>
    </row>
    <row r="58" spans="1:4" x14ac:dyDescent="0.2">
      <c r="A58" s="296" t="s">
        <v>5857</v>
      </c>
    </row>
    <row r="59" spans="1:4" x14ac:dyDescent="0.2">
      <c r="A59" s="309" t="s">
        <v>5875</v>
      </c>
      <c r="B59" s="310" t="s">
        <v>5858</v>
      </c>
      <c r="C59" s="311" t="s">
        <v>5859</v>
      </c>
      <c r="D59" s="312" t="s">
        <v>5860</v>
      </c>
    </row>
    <row r="60" spans="1:4" x14ac:dyDescent="0.2">
      <c r="A60" s="296" t="s">
        <v>5861</v>
      </c>
      <c r="B60" s="140">
        <v>42.345120951189315</v>
      </c>
      <c r="C60" s="141">
        <v>33.813533112492294</v>
      </c>
      <c r="D60" s="142">
        <v>8.531587838697023</v>
      </c>
    </row>
    <row r="61" spans="1:4" x14ac:dyDescent="0.2">
      <c r="A61" s="296" t="s">
        <v>5862</v>
      </c>
      <c r="B61" s="143">
        <v>38.153261853742748</v>
      </c>
      <c r="C61" s="144">
        <v>27.564446948831907</v>
      </c>
      <c r="D61" s="145">
        <v>10.588814904910839</v>
      </c>
    </row>
    <row r="62" spans="1:4" x14ac:dyDescent="0.2">
      <c r="A62" s="296" t="s">
        <v>5863</v>
      </c>
      <c r="B62" s="146">
        <v>31.386954656637119</v>
      </c>
      <c r="C62" s="147">
        <v>23.491157140234041</v>
      </c>
      <c r="D62" s="148">
        <v>7.8957975164030776</v>
      </c>
    </row>
    <row r="63" spans="1:4" x14ac:dyDescent="0.2">
      <c r="A63" s="296" t="s">
        <v>5864</v>
      </c>
      <c r="B63" s="149">
        <v>35.73082975521644</v>
      </c>
      <c r="C63" s="150">
        <v>27.956483629585421</v>
      </c>
      <c r="D63" s="151">
        <v>7.7743461256310171</v>
      </c>
    </row>
    <row r="64" spans="1:4" x14ac:dyDescent="0.2">
      <c r="A64" s="296" t="s">
        <v>5865</v>
      </c>
      <c r="B64" s="152">
        <v>31.867401865139492</v>
      </c>
      <c r="C64" s="153">
        <v>26.257307254480242</v>
      </c>
      <c r="D64" s="154">
        <v>5.6100946106592469</v>
      </c>
    </row>
    <row r="65" spans="1:4" x14ac:dyDescent="0.2">
      <c r="A65" s="296" t="s">
        <v>5866</v>
      </c>
      <c r="B65" s="155">
        <v>35.384249737814599</v>
      </c>
      <c r="C65" s="156">
        <v>26.704324855311</v>
      </c>
      <c r="D65" s="157">
        <v>8.6799248825036006</v>
      </c>
    </row>
    <row r="66" spans="1:4" x14ac:dyDescent="0.2">
      <c r="A66" s="347" t="s">
        <v>12</v>
      </c>
      <c r="B66" s="325" t="s">
        <v>6067</v>
      </c>
      <c r="C66" s="325" t="s">
        <v>6067</v>
      </c>
      <c r="D66" s="325" t="s">
        <v>6067</v>
      </c>
    </row>
    <row r="67" spans="1:4" x14ac:dyDescent="0.2">
      <c r="A67" s="296" t="s">
        <v>5867</v>
      </c>
      <c r="B67" s="326">
        <v>22.712750017726805</v>
      </c>
      <c r="C67" s="333">
        <v>17.121509188547783</v>
      </c>
      <c r="D67" s="340">
        <v>5.5912408291790241</v>
      </c>
    </row>
    <row r="68" spans="1:4" x14ac:dyDescent="0.2">
      <c r="A68" s="296" t="s">
        <v>5868</v>
      </c>
      <c r="B68" s="327">
        <v>47.625420235580584</v>
      </c>
      <c r="C68" s="334">
        <v>29.004651760805121</v>
      </c>
      <c r="D68" s="341">
        <v>18.620768474775463</v>
      </c>
    </row>
    <row r="69" spans="1:4" x14ac:dyDescent="0.2">
      <c r="A69" s="296" t="s">
        <v>5869</v>
      </c>
      <c r="B69" s="328">
        <v>45.118869671526909</v>
      </c>
      <c r="C69" s="335">
        <v>34.569412710928354</v>
      </c>
      <c r="D69" s="342">
        <v>10.549456960598556</v>
      </c>
    </row>
    <row r="70" spans="1:4" x14ac:dyDescent="0.2">
      <c r="A70" s="296" t="s">
        <v>5870</v>
      </c>
      <c r="B70" s="329">
        <v>32.659447090104855</v>
      </c>
      <c r="C70" s="336">
        <v>23.865062786594372</v>
      </c>
      <c r="D70" s="343">
        <v>8.7943843035104834</v>
      </c>
    </row>
    <row r="71" spans="1:4" x14ac:dyDescent="0.2">
      <c r="A71" s="296" t="s">
        <v>5871</v>
      </c>
      <c r="B71" s="330">
        <v>31.463362205057134</v>
      </c>
      <c r="C71" s="337">
        <v>22.411158036974072</v>
      </c>
      <c r="D71" s="344">
        <v>9.0522041680830618</v>
      </c>
    </row>
    <row r="72" spans="1:4" x14ac:dyDescent="0.2">
      <c r="A72" s="296" t="s">
        <v>5872</v>
      </c>
      <c r="B72" s="331">
        <v>29.326353189112332</v>
      </c>
      <c r="C72" s="338">
        <v>22.024746746011736</v>
      </c>
      <c r="D72" s="345">
        <v>7.3016064431005949</v>
      </c>
    </row>
    <row r="73" spans="1:4" x14ac:dyDescent="0.2">
      <c r="A73" s="296" t="s">
        <v>5873</v>
      </c>
      <c r="B73" s="332">
        <v>42.654757496064292</v>
      </c>
      <c r="C73" s="339">
        <v>29.523314766315202</v>
      </c>
      <c r="D73" s="346">
        <v>13.131442729749088</v>
      </c>
    </row>
    <row r="74" spans="1:4" x14ac:dyDescent="0.2">
      <c r="A74" s="296" t="s">
        <v>5874</v>
      </c>
      <c r="B74" s="158">
        <v>32.743971681668043</v>
      </c>
      <c r="C74" s="159">
        <v>25.143069647328936</v>
      </c>
      <c r="D74" s="160">
        <v>7.6009020343391072</v>
      </c>
    </row>
    <row r="75" spans="1:4" x14ac:dyDescent="0.2">
      <c r="A75" s="296" t="s">
        <v>5876</v>
      </c>
      <c r="B75" s="4">
        <v>35.693790016922613</v>
      </c>
      <c r="C75" s="4">
        <v>26.435753547088009</v>
      </c>
      <c r="D75" s="4">
        <v>9.2580364698345985</v>
      </c>
    </row>
    <row r="77" spans="1:4" x14ac:dyDescent="0.2">
      <c r="A77" s="296" t="s">
        <v>5877</v>
      </c>
    </row>
    <row r="78" spans="1:4" x14ac:dyDescent="0.2">
      <c r="A78" s="313" t="s">
        <v>5896</v>
      </c>
      <c r="B78" s="314" t="s">
        <v>5878</v>
      </c>
      <c r="C78" s="315" t="s">
        <v>5879</v>
      </c>
      <c r="D78" s="316" t="s">
        <v>5880</v>
      </c>
    </row>
    <row r="79" spans="1:4" x14ac:dyDescent="0.2">
      <c r="A79" s="296" t="s">
        <v>5881</v>
      </c>
      <c r="B79" s="161">
        <v>37.374462987772155</v>
      </c>
      <c r="C79" s="162">
        <v>29.384644530443605</v>
      </c>
      <c r="D79" s="163">
        <v>7.989818457328548</v>
      </c>
    </row>
    <row r="80" spans="1:4" x14ac:dyDescent="0.2">
      <c r="A80" s="296" t="s">
        <v>5882</v>
      </c>
      <c r="B80" s="164">
        <v>29.539555327893208</v>
      </c>
      <c r="C80" s="165">
        <v>21.527268840424512</v>
      </c>
      <c r="D80" s="166">
        <v>8.0122864874686961</v>
      </c>
    </row>
    <row r="81" spans="1:4" x14ac:dyDescent="0.2">
      <c r="A81" s="296" t="s">
        <v>5883</v>
      </c>
      <c r="B81" s="167">
        <v>20.985954354546084</v>
      </c>
      <c r="C81" s="168">
        <v>16.046531797220826</v>
      </c>
      <c r="D81" s="169">
        <v>4.9394225573252575</v>
      </c>
    </row>
    <row r="82" spans="1:4" x14ac:dyDescent="0.2">
      <c r="A82" s="296" t="s">
        <v>5884</v>
      </c>
      <c r="B82" s="170">
        <v>24.782728564334249</v>
      </c>
      <c r="C82" s="171">
        <v>21.74823210565604</v>
      </c>
      <c r="D82" s="172">
        <v>3.0344964586782073</v>
      </c>
    </row>
    <row r="83" spans="1:4" x14ac:dyDescent="0.2">
      <c r="A83" s="296" t="s">
        <v>5885</v>
      </c>
      <c r="B83" s="173">
        <v>22.463349907182664</v>
      </c>
      <c r="C83" s="174">
        <v>18.811158478018097</v>
      </c>
      <c r="D83" s="175">
        <v>3.6521914291645681</v>
      </c>
    </row>
    <row r="84" spans="1:4" x14ac:dyDescent="0.2">
      <c r="A84" s="296" t="s">
        <v>5886</v>
      </c>
      <c r="B84" s="176">
        <v>25.578787772678986</v>
      </c>
      <c r="C84" s="177">
        <v>20.155118146079332</v>
      </c>
      <c r="D84" s="178">
        <v>5.4236696265996542</v>
      </c>
    </row>
    <row r="85" spans="1:4" x14ac:dyDescent="0.2">
      <c r="A85" s="296" t="s">
        <v>5887</v>
      </c>
      <c r="B85" s="179">
        <v>17.469061794824313</v>
      </c>
      <c r="C85" s="180">
        <v>14.367439664973224</v>
      </c>
      <c r="D85" s="181">
        <v>3.1016221298510915</v>
      </c>
    </row>
    <row r="86" spans="1:4" x14ac:dyDescent="0.2">
      <c r="A86" s="296" t="s">
        <v>5888</v>
      </c>
      <c r="B86" s="182">
        <v>23.638163321056521</v>
      </c>
      <c r="C86" s="183">
        <v>19.396911022554132</v>
      </c>
      <c r="D86" s="184">
        <v>4.2412522985023902</v>
      </c>
    </row>
    <row r="87" spans="1:4" x14ac:dyDescent="0.2">
      <c r="A87" s="296" t="s">
        <v>5889</v>
      </c>
      <c r="B87" s="185">
        <v>35.594841349075345</v>
      </c>
      <c r="C87" s="186">
        <v>23.243843784589338</v>
      </c>
      <c r="D87" s="187">
        <v>12.350997564486011</v>
      </c>
    </row>
    <row r="88" spans="1:4" x14ac:dyDescent="0.2">
      <c r="A88" s="296" t="s">
        <v>5890</v>
      </c>
      <c r="B88" s="188">
        <v>45.045166716556999</v>
      </c>
      <c r="C88" s="189">
        <v>33.731346374199383</v>
      </c>
      <c r="D88" s="190">
        <v>11.313820342357614</v>
      </c>
    </row>
    <row r="89" spans="1:4" x14ac:dyDescent="0.2">
      <c r="A89" s="296" t="s">
        <v>5891</v>
      </c>
      <c r="B89" s="191">
        <v>23.109740003202614</v>
      </c>
      <c r="C89" s="192">
        <v>16.797435286311952</v>
      </c>
      <c r="D89" s="193">
        <v>6.3123047168906625</v>
      </c>
    </row>
    <row r="90" spans="1:4" x14ac:dyDescent="0.2">
      <c r="A90" s="296" t="s">
        <v>5892</v>
      </c>
      <c r="B90" s="194">
        <v>19.810245123073781</v>
      </c>
      <c r="C90" s="195">
        <v>16.574710034096512</v>
      </c>
      <c r="D90" s="196">
        <v>3.23553508897727</v>
      </c>
    </row>
    <row r="91" spans="1:4" x14ac:dyDescent="0.2">
      <c r="A91" s="296" t="s">
        <v>5893</v>
      </c>
      <c r="B91" s="197">
        <v>16.18383878233076</v>
      </c>
      <c r="C91" s="198">
        <v>12.872767611505068</v>
      </c>
      <c r="D91" s="199">
        <v>3.3110711708256915</v>
      </c>
    </row>
    <row r="92" spans="1:4" x14ac:dyDescent="0.2">
      <c r="A92" s="296" t="s">
        <v>5894</v>
      </c>
      <c r="B92" s="200">
        <v>37.655088029810457</v>
      </c>
      <c r="C92" s="201">
        <v>25.348757516565172</v>
      </c>
      <c r="D92" s="202">
        <v>12.306330513245287</v>
      </c>
    </row>
    <row r="93" spans="1:4" x14ac:dyDescent="0.2">
      <c r="A93" s="296" t="s">
        <v>5895</v>
      </c>
      <c r="B93" s="203">
        <v>23.781408860264133</v>
      </c>
      <c r="C93" s="204">
        <v>16.257101075636154</v>
      </c>
      <c r="D93" s="205">
        <v>7.5243077846279771</v>
      </c>
    </row>
    <row r="94" spans="1:4" x14ac:dyDescent="0.2">
      <c r="A94" s="296" t="s">
        <v>5897</v>
      </c>
      <c r="B94" s="4">
        <v>24.077793652402629</v>
      </c>
      <c r="C94" s="4">
        <v>18.559936577748388</v>
      </c>
      <c r="D94" s="4">
        <v>5.5178570746542359</v>
      </c>
    </row>
    <row r="96" spans="1:4" x14ac:dyDescent="0.2">
      <c r="A96" s="296" t="s">
        <v>5898</v>
      </c>
    </row>
    <row r="97" spans="1:4" x14ac:dyDescent="0.2">
      <c r="A97" s="317" t="s">
        <v>5917</v>
      </c>
      <c r="B97" s="318" t="s">
        <v>5899</v>
      </c>
      <c r="C97" s="319" t="s">
        <v>5900</v>
      </c>
      <c r="D97" s="320" t="s">
        <v>5901</v>
      </c>
    </row>
    <row r="98" spans="1:4" x14ac:dyDescent="0.2">
      <c r="A98" s="296" t="s">
        <v>5902</v>
      </c>
      <c r="B98" s="206">
        <v>31.596093662655942</v>
      </c>
      <c r="C98" s="207">
        <v>27.858227928613406</v>
      </c>
      <c r="D98" s="208">
        <v>3.7378657340425381</v>
      </c>
    </row>
    <row r="99" spans="1:4" x14ac:dyDescent="0.2">
      <c r="A99" s="296" t="s">
        <v>5903</v>
      </c>
      <c r="B99" s="209">
        <v>23.372049499315729</v>
      </c>
      <c r="C99" s="210">
        <v>19.322858043821206</v>
      </c>
      <c r="D99" s="211">
        <v>4.0491914554945225</v>
      </c>
    </row>
    <row r="100" spans="1:4" x14ac:dyDescent="0.2">
      <c r="A100" s="296" t="s">
        <v>5904</v>
      </c>
      <c r="B100" s="212">
        <v>17.838271623308202</v>
      </c>
      <c r="C100" s="213">
        <v>14.754784475562865</v>
      </c>
      <c r="D100" s="214">
        <v>3.0834871477453367</v>
      </c>
    </row>
    <row r="101" spans="1:4" x14ac:dyDescent="0.2">
      <c r="A101" s="296" t="s">
        <v>5905</v>
      </c>
      <c r="B101" s="215">
        <v>24.489315247433087</v>
      </c>
      <c r="C101" s="216">
        <v>21.333658308131699</v>
      </c>
      <c r="D101" s="217">
        <v>3.1556569393013865</v>
      </c>
    </row>
    <row r="102" spans="1:4" x14ac:dyDescent="0.2">
      <c r="A102" s="296" t="s">
        <v>5906</v>
      </c>
      <c r="B102" s="218">
        <v>20.492905379157971</v>
      </c>
      <c r="C102" s="219">
        <v>18.156995622549058</v>
      </c>
      <c r="D102" s="220">
        <v>2.3359097566089155</v>
      </c>
    </row>
    <row r="103" spans="1:4" x14ac:dyDescent="0.2">
      <c r="A103" s="296" t="s">
        <v>5907</v>
      </c>
      <c r="B103" s="221">
        <v>23.405805959279963</v>
      </c>
      <c r="C103" s="222">
        <v>19.5087315681916</v>
      </c>
      <c r="D103" s="223">
        <v>3.8970743910883598</v>
      </c>
    </row>
    <row r="104" spans="1:4" x14ac:dyDescent="0.2">
      <c r="A104" s="296" t="s">
        <v>5908</v>
      </c>
      <c r="B104" s="224">
        <v>12.673385390906645</v>
      </c>
      <c r="C104" s="225">
        <v>10.158493512268652</v>
      </c>
      <c r="D104" s="226">
        <v>2.5148918786379926</v>
      </c>
    </row>
    <row r="105" spans="1:4" x14ac:dyDescent="0.2">
      <c r="A105" s="296" t="s">
        <v>5909</v>
      </c>
      <c r="B105" s="227">
        <v>11.197229962864546</v>
      </c>
      <c r="C105" s="228">
        <v>9.4731883729348674</v>
      </c>
      <c r="D105" s="229">
        <v>1.7240415899296782</v>
      </c>
    </row>
    <row r="106" spans="1:4" x14ac:dyDescent="0.2">
      <c r="A106" s="296" t="s">
        <v>5910</v>
      </c>
      <c r="B106" s="230">
        <v>30.486826212516451</v>
      </c>
      <c r="C106" s="231">
        <v>22.12056704975171</v>
      </c>
      <c r="D106" s="232">
        <v>8.3662591627647434</v>
      </c>
    </row>
    <row r="107" spans="1:4" x14ac:dyDescent="0.2">
      <c r="A107" s="296" t="s">
        <v>5911</v>
      </c>
      <c r="B107" s="233">
        <v>35.510139103903555</v>
      </c>
      <c r="C107" s="234">
        <v>30.339972571876885</v>
      </c>
      <c r="D107" s="235">
        <v>5.170166532026669</v>
      </c>
    </row>
    <row r="108" spans="1:4" x14ac:dyDescent="0.2">
      <c r="A108" s="296" t="s">
        <v>5912</v>
      </c>
      <c r="B108" s="236">
        <v>18.463456352299648</v>
      </c>
      <c r="C108" s="237">
        <v>14.795217267526656</v>
      </c>
      <c r="D108" s="238">
        <v>3.6682390847729924</v>
      </c>
    </row>
    <row r="109" spans="1:4" x14ac:dyDescent="0.2">
      <c r="A109" s="296" t="s">
        <v>5913</v>
      </c>
      <c r="B109" s="239">
        <v>17.173398185472763</v>
      </c>
      <c r="C109" s="240">
        <v>14.474778329534347</v>
      </c>
      <c r="D109" s="241">
        <v>2.6986198559384151</v>
      </c>
    </row>
    <row r="110" spans="1:4" x14ac:dyDescent="0.2">
      <c r="A110" s="296" t="s">
        <v>5914</v>
      </c>
      <c r="B110" s="242">
        <v>16.652085768161896</v>
      </c>
      <c r="C110" s="243">
        <v>13.269000753793547</v>
      </c>
      <c r="D110" s="244">
        <v>3.38308501436835</v>
      </c>
    </row>
    <row r="111" spans="1:4" x14ac:dyDescent="0.2">
      <c r="A111" s="296" t="s">
        <v>5915</v>
      </c>
      <c r="B111" s="245">
        <v>31.082241435880054</v>
      </c>
      <c r="C111" s="246">
        <v>24.688306746378874</v>
      </c>
      <c r="D111" s="247">
        <v>6.3939346895011813</v>
      </c>
    </row>
    <row r="112" spans="1:4" x14ac:dyDescent="0.2">
      <c r="A112" s="296" t="s">
        <v>5916</v>
      </c>
      <c r="B112" s="248">
        <v>21.056767659822501</v>
      </c>
      <c r="C112" s="249">
        <v>18.004030810641247</v>
      </c>
      <c r="D112" s="250">
        <v>3.0527368491812537</v>
      </c>
    </row>
    <row r="113" spans="1:4" x14ac:dyDescent="0.2">
      <c r="A113" s="296" t="s">
        <v>5918</v>
      </c>
      <c r="B113" s="4">
        <v>22.177993083701921</v>
      </c>
      <c r="C113" s="4">
        <v>18.419695825917561</v>
      </c>
      <c r="D113" s="4">
        <v>3.7582972577843701</v>
      </c>
    </row>
    <row r="115" spans="1:4" x14ac:dyDescent="0.2">
      <c r="A115" s="296" t="s">
        <v>5919</v>
      </c>
    </row>
    <row r="116" spans="1:4" x14ac:dyDescent="0.2">
      <c r="A116" s="321" t="s">
        <v>5938</v>
      </c>
      <c r="B116" s="322" t="s">
        <v>5920</v>
      </c>
      <c r="C116" s="323" t="s">
        <v>5921</v>
      </c>
      <c r="D116" s="324" t="s">
        <v>5922</v>
      </c>
    </row>
    <row r="117" spans="1:4" x14ac:dyDescent="0.2">
      <c r="A117" s="296" t="s">
        <v>5923</v>
      </c>
      <c r="B117" s="251">
        <v>73.894177588194509</v>
      </c>
      <c r="C117" s="252">
        <v>49.595008378163229</v>
      </c>
      <c r="D117" s="253">
        <v>24.29916921003128</v>
      </c>
    </row>
    <row r="118" spans="1:4" x14ac:dyDescent="0.2">
      <c r="A118" s="296" t="s">
        <v>5924</v>
      </c>
      <c r="B118" s="254">
        <v>70.502725257835394</v>
      </c>
      <c r="C118" s="255">
        <v>44.350333756873106</v>
      </c>
      <c r="D118" s="256">
        <v>26.152391500962292</v>
      </c>
    </row>
    <row r="119" spans="1:4" x14ac:dyDescent="0.2">
      <c r="A119" s="296" t="s">
        <v>5925</v>
      </c>
      <c r="B119" s="257">
        <v>57.002158844566743</v>
      </c>
      <c r="C119" s="258">
        <v>39.484705722213377</v>
      </c>
      <c r="D119" s="259">
        <v>17.517453122353366</v>
      </c>
    </row>
    <row r="120" spans="1:4" x14ac:dyDescent="0.2">
      <c r="A120" s="296" t="s">
        <v>5926</v>
      </c>
      <c r="B120" s="260">
        <v>63.594129252371765</v>
      </c>
      <c r="C120" s="261">
        <v>44.491765457136523</v>
      </c>
      <c r="D120" s="262">
        <v>19.102363795235242</v>
      </c>
    </row>
    <row r="121" spans="1:4" x14ac:dyDescent="0.2">
      <c r="A121" s="296" t="s">
        <v>5927</v>
      </c>
      <c r="B121" s="263">
        <v>65.931780916121369</v>
      </c>
      <c r="C121" s="264">
        <v>49.941032659208119</v>
      </c>
      <c r="D121" s="265">
        <v>15.990748256913259</v>
      </c>
    </row>
    <row r="122" spans="1:4" x14ac:dyDescent="0.2">
      <c r="A122" s="296" t="s">
        <v>5928</v>
      </c>
      <c r="B122" s="266">
        <v>66.746137732553535</v>
      </c>
      <c r="C122" s="267">
        <v>45.13182187191336</v>
      </c>
      <c r="D122" s="268">
        <v>21.614315860640183</v>
      </c>
    </row>
    <row r="123" spans="1:4" x14ac:dyDescent="0.2">
      <c r="A123" s="296" t="s">
        <v>5929</v>
      </c>
      <c r="B123" s="269">
        <v>45.426974991593752</v>
      </c>
      <c r="C123" s="270">
        <v>38.904823190488351</v>
      </c>
      <c r="D123" s="271">
        <v>6.5221518011053981</v>
      </c>
    </row>
    <row r="124" spans="1:4" x14ac:dyDescent="0.2">
      <c r="A124" s="296" t="s">
        <v>5930</v>
      </c>
      <c r="B124" s="272">
        <v>49.382742471796796</v>
      </c>
      <c r="C124" s="273">
        <v>35.787508307069807</v>
      </c>
      <c r="D124" s="274">
        <v>13.595234164726989</v>
      </c>
    </row>
    <row r="125" spans="1:4" x14ac:dyDescent="0.2">
      <c r="A125" s="296" t="s">
        <v>5931</v>
      </c>
      <c r="B125" s="275">
        <v>79.425448890791145</v>
      </c>
      <c r="C125" s="276">
        <v>41.262026146503871</v>
      </c>
      <c r="D125" s="277">
        <v>38.163422744287267</v>
      </c>
    </row>
    <row r="126" spans="1:4" x14ac:dyDescent="0.2">
      <c r="A126" s="296" t="s">
        <v>5932</v>
      </c>
      <c r="B126" s="278">
        <v>75.892670371956328</v>
      </c>
      <c r="C126" s="279">
        <v>47.826026922402576</v>
      </c>
      <c r="D126" s="280">
        <v>28.066643449553759</v>
      </c>
    </row>
    <row r="127" spans="1:4" x14ac:dyDescent="0.2">
      <c r="A127" s="296" t="s">
        <v>5933</v>
      </c>
      <c r="B127" s="281">
        <v>67.329802626648771</v>
      </c>
      <c r="C127" s="282">
        <v>44.936062109435518</v>
      </c>
      <c r="D127" s="283">
        <v>22.39374051721326</v>
      </c>
    </row>
    <row r="128" spans="1:4" x14ac:dyDescent="0.2">
      <c r="A128" s="296" t="s">
        <v>5934</v>
      </c>
      <c r="B128" s="284">
        <v>66.4267890699482</v>
      </c>
      <c r="C128" s="285">
        <v>43.020347989654866</v>
      </c>
      <c r="D128" s="286">
        <v>23.40644108029333</v>
      </c>
    </row>
    <row r="129" spans="1:4" x14ac:dyDescent="0.2">
      <c r="A129" s="296" t="s">
        <v>5935</v>
      </c>
      <c r="B129" s="287">
        <v>60.899676708572485</v>
      </c>
      <c r="C129" s="288">
        <v>43.80291477524333</v>
      </c>
      <c r="D129" s="289">
        <v>17.096761933329152</v>
      </c>
    </row>
    <row r="130" spans="1:4" x14ac:dyDescent="0.2">
      <c r="A130" s="296" t="s">
        <v>5936</v>
      </c>
      <c r="B130" s="290">
        <v>76.35307630582605</v>
      </c>
      <c r="C130" s="291">
        <v>41.873906076487202</v>
      </c>
      <c r="D130" s="292">
        <v>34.479170229338848</v>
      </c>
    </row>
    <row r="131" spans="1:4" x14ac:dyDescent="0.2">
      <c r="A131" s="296" t="s">
        <v>5937</v>
      </c>
      <c r="B131" s="293">
        <v>63.090116893546302</v>
      </c>
      <c r="C131" s="294">
        <v>41.964202323457009</v>
      </c>
      <c r="D131" s="295">
        <v>21.125914570089286</v>
      </c>
    </row>
    <row r="132" spans="1:4" x14ac:dyDescent="0.2">
      <c r="A132" s="296" t="s">
        <v>5939</v>
      </c>
      <c r="B132" s="4">
        <v>66.681343922554589</v>
      </c>
      <c r="C132" s="4">
        <v>43.792640383922603</v>
      </c>
      <c r="D132" s="4">
        <v>22.88870353863199</v>
      </c>
    </row>
  </sheetData>
  <pageMargins left="0.7" right="0.7" top="0.75" bottom="0.75" header="0.3" footer="0.3"/>
  <tableParts count="7">
    <tablePart r:id="rId1"/>
    <tablePart r:id="rId2"/>
    <tablePart r:id="rId3"/>
    <tablePart r:id="rId4"/>
    <tablePart r:id="rId5"/>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55"/>
  <sheetViews>
    <sheetView zoomScaleNormal="100" workbookViewId="0">
      <selection activeCell="G7" sqref="G7"/>
    </sheetView>
  </sheetViews>
  <sheetFormatPr baseColWidth="10" defaultColWidth="8.83203125" defaultRowHeight="15" x14ac:dyDescent="0.2"/>
  <cols>
    <col min="1" max="7" width="15.83203125" style="3" customWidth="1"/>
    <col min="8" max="16384" width="8.83203125" style="3"/>
  </cols>
  <sheetData>
    <row r="1" spans="1:8" x14ac:dyDescent="0.2">
      <c r="A1" s="348" t="s">
        <v>5999</v>
      </c>
      <c r="B1" s="349"/>
      <c r="C1" s="350"/>
      <c r="D1" s="351"/>
      <c r="E1" s="352"/>
      <c r="F1" s="353"/>
      <c r="G1" s="354"/>
      <c r="H1" s="355"/>
    </row>
    <row r="2" spans="1:8" x14ac:dyDescent="0.2">
      <c r="A2" s="3" t="s">
        <v>6021</v>
      </c>
      <c r="B2" s="3" t="s">
        <v>6014</v>
      </c>
      <c r="C2" s="3" t="s">
        <v>6015</v>
      </c>
      <c r="D2" s="3" t="s">
        <v>6016</v>
      </c>
      <c r="E2" s="3" t="s">
        <v>6017</v>
      </c>
      <c r="F2" s="3" t="s">
        <v>6018</v>
      </c>
      <c r="G2" s="3" t="s">
        <v>6020</v>
      </c>
    </row>
    <row r="3" spans="1:8" x14ac:dyDescent="0.2">
      <c r="A3" s="3" t="s">
        <v>6000</v>
      </c>
      <c r="B3" s="3">
        <v>21.438913418741919</v>
      </c>
      <c r="C3" s="3">
        <v>10.448121090230179</v>
      </c>
      <c r="D3" s="3">
        <v>18.50458800509837</v>
      </c>
      <c r="E3" s="3">
        <v>15.162016215612301</v>
      </c>
      <c r="F3" s="3">
        <v>2.7186726283243972</v>
      </c>
      <c r="G3" s="3">
        <v>2.6593966551366659</v>
      </c>
    </row>
    <row r="4" spans="1:8" x14ac:dyDescent="0.2">
      <c r="A4" s="3" t="s">
        <v>6001</v>
      </c>
      <c r="B4" s="3">
        <v>21.047623888654861</v>
      </c>
      <c r="C4" s="3">
        <v>8.2153444087981136</v>
      </c>
      <c r="D4" s="3">
        <v>14.42608667863079</v>
      </c>
      <c r="E4" s="3">
        <v>18.402595402618129</v>
      </c>
      <c r="F4" s="3">
        <v>5.2116401062077538</v>
      </c>
      <c r="G4" s="3">
        <v>1.20400010475686</v>
      </c>
    </row>
    <row r="5" spans="1:8" x14ac:dyDescent="0.2">
      <c r="A5" s="3" t="s">
        <v>6002</v>
      </c>
      <c r="B5" s="3">
        <v>17.685396295838569</v>
      </c>
      <c r="C5" s="3">
        <v>7.8358961109826106</v>
      </c>
      <c r="D5" s="3">
        <v>13.17773073960079</v>
      </c>
      <c r="E5" s="3">
        <v>12.91164893072578</v>
      </c>
      <c r="F5" s="3">
        <v>1.869954501387209</v>
      </c>
      <c r="G5" s="3">
        <v>2.9555856204946909</v>
      </c>
    </row>
    <row r="6" spans="1:8" x14ac:dyDescent="0.2">
      <c r="A6" s="3" t="s">
        <v>6003</v>
      </c>
      <c r="B6" s="3">
        <v>20.315078369667489</v>
      </c>
      <c r="C6" s="3">
        <v>9.5583228472650354</v>
      </c>
      <c r="D6" s="3">
        <v>13.52787622233145</v>
      </c>
      <c r="E6" s="3">
        <v>13.316544631041401</v>
      </c>
      <c r="F6" s="3">
        <v>4.0227098869289426</v>
      </c>
      <c r="G6" s="3">
        <v>2.643314092335983</v>
      </c>
    </row>
    <row r="7" spans="1:8" x14ac:dyDescent="0.2">
      <c r="A7" s="3" t="s">
        <v>6004</v>
      </c>
      <c r="B7" s="3">
        <v>18.457120077399932</v>
      </c>
      <c r="C7" s="3">
        <v>6.9105351960844006</v>
      </c>
      <c r="D7" s="3">
        <v>10.96931584846403</v>
      </c>
      <c r="E7" s="3">
        <v>11.040313373367599</v>
      </c>
      <c r="F7" s="3">
        <v>2.8725865696117721</v>
      </c>
      <c r="G7" s="3">
        <v>1.5437595054141411</v>
      </c>
    </row>
    <row r="8" spans="1:8" x14ac:dyDescent="0.2">
      <c r="A8" s="3" t="s">
        <v>6005</v>
      </c>
      <c r="B8" s="3">
        <v>21.231924186603511</v>
      </c>
      <c r="C8" s="3">
        <v>8.2160295713113616</v>
      </c>
      <c r="D8" s="3">
        <v>13.09936670773039</v>
      </c>
      <c r="E8" s="3">
        <v>14.07446564055169</v>
      </c>
      <c r="F8" s="3">
        <v>2.71195368734876</v>
      </c>
      <c r="G8" s="3">
        <v>3.500398567406847</v>
      </c>
    </row>
    <row r="9" spans="1:8" x14ac:dyDescent="0.2">
      <c r="A9" s="3" t="s">
        <v>6006</v>
      </c>
      <c r="B9" s="3">
        <v>10.1225358334241</v>
      </c>
      <c r="C9" s="3">
        <v>2.089383013000417</v>
      </c>
      <c r="D9" s="3">
        <v>5.6136028917990144</v>
      </c>
      <c r="E9" s="3">
        <v>4.4733929710702514</v>
      </c>
      <c r="F9" s="3">
        <v>1.0666079376207349</v>
      </c>
      <c r="G9" s="3">
        <v>1.1536122368808359</v>
      </c>
    </row>
    <row r="10" spans="1:8" x14ac:dyDescent="0.2">
      <c r="A10" s="3" t="s">
        <v>6007</v>
      </c>
      <c r="B10" s="3">
        <v>12.036600916956941</v>
      </c>
      <c r="C10" s="3">
        <v>7.7564189321188586</v>
      </c>
      <c r="D10" s="3">
        <v>11.03181393590522</v>
      </c>
      <c r="E10" s="3">
        <v>7.578325350444147</v>
      </c>
      <c r="F10" s="3">
        <v>4.7322237253392778</v>
      </c>
      <c r="G10" s="3">
        <v>1.8853423695296641</v>
      </c>
    </row>
    <row r="11" spans="1:8" x14ac:dyDescent="0.2">
      <c r="A11" s="3" t="s">
        <v>6008</v>
      </c>
      <c r="B11" s="3">
        <v>26.1122912347683</v>
      </c>
      <c r="C11" s="3">
        <v>11.541129247452069</v>
      </c>
      <c r="D11" s="3">
        <v>21.876500070383241</v>
      </c>
      <c r="E11" s="3">
        <v>28.129095065356129</v>
      </c>
      <c r="F11" s="3">
        <v>7.9745428547147688</v>
      </c>
      <c r="G11" s="3">
        <v>2.9486792668327211</v>
      </c>
    </row>
    <row r="12" spans="1:8" x14ac:dyDescent="0.2">
      <c r="A12" s="3" t="s">
        <v>6009</v>
      </c>
      <c r="B12" s="3">
        <v>27.10451194442382</v>
      </c>
      <c r="C12" s="3">
        <v>11.77216103132012</v>
      </c>
      <c r="D12" s="3">
        <v>17.83070762914733</v>
      </c>
      <c r="E12" s="3">
        <v>18.893846388965279</v>
      </c>
      <c r="F12" s="3">
        <v>3.6144022347964371</v>
      </c>
      <c r="G12" s="3">
        <v>4.2203511534558027</v>
      </c>
    </row>
    <row r="13" spans="1:8" x14ac:dyDescent="0.2">
      <c r="A13" s="3" t="s">
        <v>6010</v>
      </c>
      <c r="B13" s="3">
        <v>19.281901812088581</v>
      </c>
      <c r="C13" s="3">
        <v>5.9052032775396208</v>
      </c>
      <c r="D13" s="3">
        <v>12.36835864999501</v>
      </c>
      <c r="E13" s="3">
        <v>9.8601040958926642</v>
      </c>
      <c r="F13" s="3">
        <v>3.1342759532913118</v>
      </c>
      <c r="G13" s="3">
        <v>2.11477379398915</v>
      </c>
    </row>
    <row r="14" spans="1:8" x14ac:dyDescent="0.2">
      <c r="A14" s="3" t="s">
        <v>6011</v>
      </c>
      <c r="B14" s="3">
        <v>17.199749460023359</v>
      </c>
      <c r="C14" s="3">
        <v>5.4985702110196533</v>
      </c>
      <c r="D14" s="3">
        <v>11.18763864561271</v>
      </c>
      <c r="E14" s="3">
        <v>8.5800907926765611</v>
      </c>
      <c r="F14" s="3">
        <v>2.992455721020471</v>
      </c>
      <c r="G14" s="3">
        <v>1.7803760616375019</v>
      </c>
    </row>
    <row r="15" spans="1:8" x14ac:dyDescent="0.2">
      <c r="A15" s="3" t="s">
        <v>6012</v>
      </c>
      <c r="B15" s="3">
        <v>16.89022949345825</v>
      </c>
      <c r="C15" s="3">
        <v>7.0546015763550241</v>
      </c>
      <c r="D15" s="3">
        <v>11.37877509101542</v>
      </c>
      <c r="E15" s="3">
        <v>9.1986010300501242</v>
      </c>
      <c r="F15" s="3">
        <v>2.3338522337911418</v>
      </c>
      <c r="G15" s="3">
        <v>1.810720115232999</v>
      </c>
    </row>
    <row r="16" spans="1:8" x14ac:dyDescent="0.2">
      <c r="A16" s="3" t="s">
        <v>6013</v>
      </c>
      <c r="B16" s="3">
        <v>21.342235668856471</v>
      </c>
      <c r="C16" s="3">
        <v>11.22686901522378</v>
      </c>
      <c r="D16" s="3">
        <v>17.675309248361391</v>
      </c>
      <c r="E16" s="3">
        <v>22.912844890895421</v>
      </c>
      <c r="F16" s="3">
        <v>7.0065430447863388</v>
      </c>
      <c r="G16" s="3">
        <v>2.485295199231448</v>
      </c>
    </row>
    <row r="17" spans="1:7" x14ac:dyDescent="0.2">
      <c r="A17" s="3" t="s">
        <v>6019</v>
      </c>
      <c r="B17" s="3">
        <v>18.853224230676751</v>
      </c>
      <c r="C17" s="3">
        <v>6.445714180460719</v>
      </c>
      <c r="D17" s="3">
        <v>14.81690666093159</v>
      </c>
      <c r="E17" s="3">
        <v>10.016548231077071</v>
      </c>
      <c r="F17" s="3">
        <v>2.9604695599262372</v>
      </c>
      <c r="G17" s="3">
        <v>1.901774238130107</v>
      </c>
    </row>
    <row r="18" spans="1:7" x14ac:dyDescent="0.2">
      <c r="A18" s="3" t="s">
        <v>5835</v>
      </c>
      <c r="B18" s="3">
        <v>19.4678796381938</v>
      </c>
      <c r="C18" s="3">
        <v>7.7733678670543416</v>
      </c>
      <c r="D18" s="3">
        <v>13.623566940226819</v>
      </c>
      <c r="E18" s="3">
        <v>13.347371815264511</v>
      </c>
      <c r="F18" s="3">
        <v>3.5871422987871382</v>
      </c>
      <c r="G18" s="3">
        <v>2.2956062022103412</v>
      </c>
    </row>
    <row r="20" spans="1:7" x14ac:dyDescent="0.2">
      <c r="A20" s="3" t="s">
        <v>6022</v>
      </c>
    </row>
    <row r="21" spans="1:7" x14ac:dyDescent="0.2">
      <c r="A21" s="3" t="s">
        <v>6044</v>
      </c>
      <c r="B21" s="3" t="s">
        <v>6037</v>
      </c>
      <c r="C21" s="3" t="s">
        <v>6038</v>
      </c>
      <c r="D21" s="3" t="s">
        <v>6039</v>
      </c>
      <c r="E21" s="3" t="s">
        <v>6040</v>
      </c>
      <c r="F21" s="3" t="s">
        <v>6041</v>
      </c>
      <c r="G21" s="3" t="s">
        <v>6043</v>
      </c>
    </row>
    <row r="22" spans="1:7" x14ac:dyDescent="0.2">
      <c r="A22" s="3" t="s">
        <v>6023</v>
      </c>
      <c r="B22" s="3">
        <v>17.721731179612039</v>
      </c>
      <c r="C22" s="3">
        <v>9.2665649267806742</v>
      </c>
      <c r="D22" s="3">
        <v>14.4650022329555</v>
      </c>
      <c r="E22" s="3">
        <v>12.07011844754533</v>
      </c>
      <c r="F22" s="3">
        <v>2.3661302015967638</v>
      </c>
      <c r="G22" s="3">
        <v>2.1971009580216641</v>
      </c>
    </row>
    <row r="23" spans="1:7" x14ac:dyDescent="0.2">
      <c r="A23" s="3" t="s">
        <v>6024</v>
      </c>
      <c r="B23" s="3">
        <v>16.52062468932245</v>
      </c>
      <c r="C23" s="3">
        <v>6.8456764146593967</v>
      </c>
      <c r="D23" s="3">
        <v>10.626303072595141</v>
      </c>
      <c r="E23" s="3">
        <v>14.60644776306345</v>
      </c>
      <c r="F23" s="3">
        <v>3.5316926854424091</v>
      </c>
      <c r="G23" s="3">
        <v>0.97032837361931923</v>
      </c>
    </row>
    <row r="24" spans="1:7" x14ac:dyDescent="0.2">
      <c r="A24" s="3" t="s">
        <v>6025</v>
      </c>
      <c r="B24" s="3">
        <v>14.75748198746461</v>
      </c>
      <c r="C24" s="3">
        <v>6.4934442993826913</v>
      </c>
      <c r="D24" s="3">
        <v>10.6276078999057</v>
      </c>
      <c r="E24" s="3">
        <v>10.03034730205097</v>
      </c>
      <c r="F24" s="3">
        <v>1.2739881894451019</v>
      </c>
      <c r="G24" s="3">
        <v>2.4120547597688078</v>
      </c>
    </row>
    <row r="25" spans="1:7" x14ac:dyDescent="0.2">
      <c r="A25" s="3" t="s">
        <v>6026</v>
      </c>
      <c r="B25" s="3">
        <v>17.062219499880062</v>
      </c>
      <c r="C25" s="3">
        <v>8.0375539800141755</v>
      </c>
      <c r="D25" s="3">
        <v>10.60706400384151</v>
      </c>
      <c r="E25" s="3">
        <v>10.83729600324209</v>
      </c>
      <c r="F25" s="3">
        <v>3.1379498010048281</v>
      </c>
      <c r="G25" s="3">
        <v>2.3605629236226839</v>
      </c>
    </row>
    <row r="26" spans="1:7" x14ac:dyDescent="0.2">
      <c r="A26" s="3" t="s">
        <v>6027</v>
      </c>
      <c r="B26" s="3">
        <v>15.92638843352168</v>
      </c>
      <c r="C26" s="3">
        <v>6.1383663438606657</v>
      </c>
      <c r="D26" s="3">
        <v>8.7947924074165478</v>
      </c>
      <c r="E26" s="3">
        <v>9.3574332633854915</v>
      </c>
      <c r="F26" s="3">
        <v>2.4015050952918089</v>
      </c>
      <c r="G26" s="3">
        <v>1.148111853178424</v>
      </c>
    </row>
    <row r="27" spans="1:7" x14ac:dyDescent="0.2">
      <c r="A27" s="3" t="s">
        <v>6028</v>
      </c>
      <c r="B27" s="3">
        <v>17.940964104904261</v>
      </c>
      <c r="C27" s="3">
        <v>7.0668611645235444</v>
      </c>
      <c r="D27" s="3">
        <v>9.6879195160386509</v>
      </c>
      <c r="E27" s="3">
        <v>11.380319063323981</v>
      </c>
      <c r="F27" s="3">
        <v>1.794131184611212</v>
      </c>
      <c r="G27" s="3">
        <v>2.9506058482787392</v>
      </c>
    </row>
    <row r="28" spans="1:7" x14ac:dyDescent="0.2">
      <c r="A28" s="3" t="s">
        <v>6029</v>
      </c>
      <c r="B28" s="3">
        <v>9.0197353020918776</v>
      </c>
      <c r="C28" s="3">
        <v>1.805287151671026</v>
      </c>
      <c r="D28" s="3">
        <v>4.6452777521097124</v>
      </c>
      <c r="E28" s="3">
        <v>3.677528526263619</v>
      </c>
      <c r="F28" s="3">
        <v>0.83584368834095879</v>
      </c>
      <c r="G28" s="3">
        <v>0.98719607776090934</v>
      </c>
    </row>
    <row r="29" spans="1:7" x14ac:dyDescent="0.2">
      <c r="A29" s="3" t="s">
        <v>6030</v>
      </c>
      <c r="B29" s="3">
        <v>10.09677660238513</v>
      </c>
      <c r="C29" s="3">
        <v>7.1445922325502798</v>
      </c>
      <c r="D29" s="3">
        <v>8.412221621754183</v>
      </c>
      <c r="E29" s="3">
        <v>6.6477033008736228</v>
      </c>
      <c r="F29" s="3">
        <v>3.7487684373917922</v>
      </c>
      <c r="G29" s="3">
        <v>1.6189037841400671</v>
      </c>
    </row>
    <row r="30" spans="1:7" x14ac:dyDescent="0.2">
      <c r="A30" s="3" t="s">
        <v>6031</v>
      </c>
      <c r="B30" s="3">
        <v>18.007285034873281</v>
      </c>
      <c r="C30" s="3">
        <v>8.4826431032515561</v>
      </c>
      <c r="D30" s="3">
        <v>14.69658903061964</v>
      </c>
      <c r="E30" s="3">
        <v>19.324891413454239</v>
      </c>
      <c r="F30" s="3">
        <v>5.8465981150284794</v>
      </c>
      <c r="G30" s="3">
        <v>2.548552579904193</v>
      </c>
    </row>
    <row r="31" spans="1:7" x14ac:dyDescent="0.2">
      <c r="A31" s="3" t="s">
        <v>6032</v>
      </c>
      <c r="B31" s="3">
        <v>21.692272156026789</v>
      </c>
      <c r="C31" s="3">
        <v>9.6283386973861429</v>
      </c>
      <c r="D31" s="3">
        <v>14.065152103548449</v>
      </c>
      <c r="E31" s="3">
        <v>16.454033274832629</v>
      </c>
      <c r="F31" s="3">
        <v>2.5483907250507021</v>
      </c>
      <c r="G31" s="3">
        <v>3.4639561403139632</v>
      </c>
    </row>
    <row r="32" spans="1:7" x14ac:dyDescent="0.2">
      <c r="A32" s="3" t="s">
        <v>6033</v>
      </c>
      <c r="B32" s="3">
        <v>15.69031832432827</v>
      </c>
      <c r="C32" s="3">
        <v>4.9917384245094762</v>
      </c>
      <c r="D32" s="3">
        <v>8.2066621517570191</v>
      </c>
      <c r="E32" s="3">
        <v>7.3168126085830281</v>
      </c>
      <c r="F32" s="3">
        <v>2.219029699834083</v>
      </c>
      <c r="G32" s="3">
        <v>1.770565026165017</v>
      </c>
    </row>
    <row r="33" spans="1:7" x14ac:dyDescent="0.2">
      <c r="A33" s="3" t="s">
        <v>6034</v>
      </c>
      <c r="B33" s="3">
        <v>13.643691985886351</v>
      </c>
      <c r="C33" s="3">
        <v>4.7585566004684967</v>
      </c>
      <c r="D33" s="3">
        <v>8.3185960644871368</v>
      </c>
      <c r="E33" s="3">
        <v>6.711385095950166</v>
      </c>
      <c r="F33" s="3">
        <v>1.923080240011998</v>
      </c>
      <c r="G33" s="3">
        <v>1.5663947263196529</v>
      </c>
    </row>
    <row r="34" spans="1:7" x14ac:dyDescent="0.2">
      <c r="A34" s="3" t="s">
        <v>6035</v>
      </c>
      <c r="B34" s="3">
        <v>13.83388137022378</v>
      </c>
      <c r="C34" s="3">
        <v>5.8551117583016037</v>
      </c>
      <c r="D34" s="3">
        <v>8.3912882324853353</v>
      </c>
      <c r="E34" s="3">
        <v>7.4011183261659337</v>
      </c>
      <c r="F34" s="3">
        <v>1.6356355217761951</v>
      </c>
      <c r="G34" s="3">
        <v>1.4015994296076151</v>
      </c>
    </row>
    <row r="35" spans="1:7" x14ac:dyDescent="0.2">
      <c r="A35" s="3" t="s">
        <v>6036</v>
      </c>
      <c r="B35" s="3">
        <v>15.55150376245544</v>
      </c>
      <c r="C35" s="3">
        <v>9.2838329826809449</v>
      </c>
      <c r="D35" s="3">
        <v>12.335570823353081</v>
      </c>
      <c r="E35" s="3">
        <v>17.96930288749083</v>
      </c>
      <c r="F35" s="3">
        <v>5.4756687007706768</v>
      </c>
      <c r="G35" s="3">
        <v>2.1634404913322909</v>
      </c>
    </row>
    <row r="36" spans="1:7" x14ac:dyDescent="0.2">
      <c r="A36" s="3" t="s">
        <v>6042</v>
      </c>
      <c r="B36" s="3">
        <v>15.387659402563241</v>
      </c>
      <c r="C36" s="3">
        <v>5.3572683981909721</v>
      </c>
      <c r="D36" s="3">
        <v>11.39047408283192</v>
      </c>
      <c r="E36" s="3">
        <v>8.5104109493642852</v>
      </c>
      <c r="F36" s="3">
        <v>2.24437835929684</v>
      </c>
      <c r="G36" s="3">
        <v>1.2680592753395341</v>
      </c>
    </row>
    <row r="37" spans="1:7" x14ac:dyDescent="0.2">
      <c r="A37" s="3" t="s">
        <v>5835</v>
      </c>
      <c r="B37" s="3">
        <v>15.68889111346026</v>
      </c>
      <c r="C37" s="3">
        <v>6.5324678627524877</v>
      </c>
      <c r="D37" s="3">
        <v>10.12503891599143</v>
      </c>
      <c r="E37" s="3">
        <v>10.589427189985271</v>
      </c>
      <c r="F37" s="3">
        <v>2.614763667072515</v>
      </c>
      <c r="G37" s="3">
        <v>1.906640765364082</v>
      </c>
    </row>
    <row r="39" spans="1:7" x14ac:dyDescent="0.2">
      <c r="A39" s="3" t="s">
        <v>6045</v>
      </c>
    </row>
    <row r="40" spans="1:7" x14ac:dyDescent="0.2">
      <c r="A40" s="3" t="s">
        <v>6066</v>
      </c>
      <c r="B40" s="3" t="s">
        <v>6060</v>
      </c>
      <c r="C40" s="3" t="s">
        <v>6061</v>
      </c>
      <c r="D40" s="3" t="s">
        <v>6062</v>
      </c>
      <c r="E40" s="3" t="s">
        <v>6063</v>
      </c>
      <c r="F40" s="3" t="s">
        <v>6064</v>
      </c>
      <c r="G40" s="3" t="s">
        <v>6065</v>
      </c>
    </row>
    <row r="41" spans="1:7" x14ac:dyDescent="0.2">
      <c r="A41" s="3" t="s">
        <v>6046</v>
      </c>
      <c r="B41" s="3">
        <v>3.7171822391298801</v>
      </c>
      <c r="C41" s="3">
        <v>1.181556163449506</v>
      </c>
      <c r="D41" s="3">
        <v>4.0395857721428658</v>
      </c>
      <c r="E41" s="3">
        <v>3.0918977680669619</v>
      </c>
      <c r="F41" s="3">
        <v>0.35254242672763308</v>
      </c>
      <c r="G41" s="3">
        <v>0.46229569711500301</v>
      </c>
    </row>
    <row r="42" spans="1:7" x14ac:dyDescent="0.2">
      <c r="A42" s="3" t="s">
        <v>6047</v>
      </c>
      <c r="B42" s="3">
        <v>4.5269991993324057</v>
      </c>
      <c r="C42" s="3">
        <v>1.369667994138718</v>
      </c>
      <c r="D42" s="3">
        <v>3.7997836060356529</v>
      </c>
      <c r="E42" s="3">
        <v>3.7961476395546798</v>
      </c>
      <c r="F42" s="3">
        <v>1.679947420765346</v>
      </c>
      <c r="G42" s="3">
        <v>0.233671731137541</v>
      </c>
    </row>
    <row r="43" spans="1:7" x14ac:dyDescent="0.2">
      <c r="A43" s="3" t="s">
        <v>6048</v>
      </c>
      <c r="B43" s="3">
        <v>2.9279143083739649</v>
      </c>
      <c r="C43" s="3">
        <v>1.3424518115999191</v>
      </c>
      <c r="D43" s="3">
        <v>2.5501228396950899</v>
      </c>
      <c r="E43" s="3">
        <v>2.8813016286748181</v>
      </c>
      <c r="F43" s="3">
        <v>0.59596631194210714</v>
      </c>
      <c r="G43" s="3">
        <v>0.54353086072588275</v>
      </c>
    </row>
    <row r="44" spans="1:7" x14ac:dyDescent="0.2">
      <c r="A44" s="3" t="s">
        <v>6049</v>
      </c>
      <c r="B44" s="3">
        <v>3.252858869787425</v>
      </c>
      <c r="C44" s="3">
        <v>1.5207688672508599</v>
      </c>
      <c r="D44" s="3">
        <v>2.9208122184899339</v>
      </c>
      <c r="E44" s="3">
        <v>2.47924862779931</v>
      </c>
      <c r="F44" s="3">
        <v>0.88476008592411526</v>
      </c>
      <c r="G44" s="3">
        <v>0.28275116871329897</v>
      </c>
    </row>
    <row r="45" spans="1:7" x14ac:dyDescent="0.2">
      <c r="A45" s="3" t="s">
        <v>6050</v>
      </c>
      <c r="B45" s="3">
        <v>2.530731643878251</v>
      </c>
      <c r="C45" s="3">
        <v>0.77216885222373455</v>
      </c>
      <c r="D45" s="3">
        <v>2.1745234410474819</v>
      </c>
      <c r="E45" s="3">
        <v>1.682880109982106</v>
      </c>
      <c r="F45" s="3">
        <v>0.47108147431996278</v>
      </c>
      <c r="G45" s="3">
        <v>0.39564765223571768</v>
      </c>
    </row>
    <row r="46" spans="1:7" x14ac:dyDescent="0.2">
      <c r="A46" s="3" t="s">
        <v>6051</v>
      </c>
      <c r="B46" s="3">
        <v>3.290960081699255</v>
      </c>
      <c r="C46" s="3">
        <v>1.1491684067878161</v>
      </c>
      <c r="D46" s="3">
        <v>3.4114471916917428</v>
      </c>
      <c r="E46" s="3">
        <v>2.6941465772277131</v>
      </c>
      <c r="F46" s="3">
        <v>0.91782250273754873</v>
      </c>
      <c r="G46" s="3">
        <v>0.54979271912810845</v>
      </c>
    </row>
    <row r="47" spans="1:7" x14ac:dyDescent="0.2">
      <c r="A47" s="3" t="s">
        <v>6052</v>
      </c>
      <c r="B47" s="3">
        <v>1.1028005313322169</v>
      </c>
      <c r="C47" s="3">
        <v>0.28409586132939041</v>
      </c>
      <c r="D47" s="3">
        <v>0.96832513968930123</v>
      </c>
      <c r="E47" s="3">
        <v>0.79586444480663188</v>
      </c>
      <c r="F47" s="3">
        <v>0.23076424927977651</v>
      </c>
      <c r="G47" s="3">
        <v>0.1664161591199266</v>
      </c>
    </row>
    <row r="48" spans="1:7" x14ac:dyDescent="0.2">
      <c r="A48" s="3" t="s">
        <v>6053</v>
      </c>
      <c r="B48" s="3">
        <v>1.9398243145718019</v>
      </c>
      <c r="C48" s="3">
        <v>0.61182669956857927</v>
      </c>
      <c r="D48" s="3">
        <v>2.6195923141510402</v>
      </c>
      <c r="E48" s="3">
        <v>0.93062204957052463</v>
      </c>
      <c r="F48" s="3">
        <v>0.98345528794748571</v>
      </c>
      <c r="G48" s="3">
        <v>0.2664385853895968</v>
      </c>
    </row>
    <row r="49" spans="1:7" x14ac:dyDescent="0.2">
      <c r="A49" s="3" t="s">
        <v>6054</v>
      </c>
      <c r="B49" s="3">
        <v>8.1050061998950174</v>
      </c>
      <c r="C49" s="3">
        <v>3.0584861442005091</v>
      </c>
      <c r="D49" s="3">
        <v>7.179911039763601</v>
      </c>
      <c r="E49" s="3">
        <v>8.8042036519018936</v>
      </c>
      <c r="F49" s="3">
        <v>2.1279447396862889</v>
      </c>
      <c r="G49" s="3">
        <v>0.40012668692852871</v>
      </c>
    </row>
    <row r="50" spans="1:7" x14ac:dyDescent="0.2">
      <c r="A50" s="3" t="s">
        <v>6055</v>
      </c>
      <c r="B50" s="3">
        <v>5.4122397883970281</v>
      </c>
      <c r="C50" s="3">
        <v>2.1438223339339761</v>
      </c>
      <c r="D50" s="3">
        <v>3.7655555255988871</v>
      </c>
      <c r="E50" s="3">
        <v>2.43981311413265</v>
      </c>
      <c r="F50" s="3">
        <v>1.066011509745735</v>
      </c>
      <c r="G50" s="3">
        <v>0.75639501314183966</v>
      </c>
    </row>
    <row r="51" spans="1:7" x14ac:dyDescent="0.2">
      <c r="A51" s="3" t="s">
        <v>6056</v>
      </c>
      <c r="B51" s="3">
        <v>3.5915834877603059</v>
      </c>
      <c r="C51" s="3">
        <v>0.91346485303014502</v>
      </c>
      <c r="D51" s="3">
        <v>4.161696498237994</v>
      </c>
      <c r="E51" s="3">
        <v>2.5432914873096371</v>
      </c>
      <c r="F51" s="3">
        <v>0.91524625345722921</v>
      </c>
      <c r="G51" s="3">
        <v>0.3442087678241334</v>
      </c>
    </row>
    <row r="52" spans="1:7" x14ac:dyDescent="0.2">
      <c r="A52" s="3" t="s">
        <v>6057</v>
      </c>
      <c r="B52" s="3">
        <v>3.556057474137011</v>
      </c>
      <c r="C52" s="3">
        <v>0.74001361055115644</v>
      </c>
      <c r="D52" s="3">
        <v>2.8690425811255702</v>
      </c>
      <c r="E52" s="3">
        <v>1.868705696726396</v>
      </c>
      <c r="F52" s="3">
        <v>1.069375481008473</v>
      </c>
      <c r="G52" s="3">
        <v>0.2139813353178496</v>
      </c>
    </row>
    <row r="53" spans="1:7" x14ac:dyDescent="0.2">
      <c r="A53" s="3" t="s">
        <v>6058</v>
      </c>
      <c r="B53" s="3">
        <v>3.0563481232344709</v>
      </c>
      <c r="C53" s="3">
        <v>1.199489818053421</v>
      </c>
      <c r="D53" s="3">
        <v>2.987486858530084</v>
      </c>
      <c r="E53" s="3">
        <v>1.7974827038841901</v>
      </c>
      <c r="F53" s="3">
        <v>0.69821671201494706</v>
      </c>
      <c r="G53" s="3">
        <v>0.40912068562538317</v>
      </c>
    </row>
    <row r="54" spans="1:7" x14ac:dyDescent="0.2">
      <c r="A54" s="3" t="s">
        <v>6059</v>
      </c>
      <c r="B54" s="3">
        <v>5.7907319064010334</v>
      </c>
      <c r="C54" s="3">
        <v>1.943036032542832</v>
      </c>
      <c r="D54" s="3">
        <v>5.33973842500831</v>
      </c>
      <c r="E54" s="3">
        <v>4.9435420034045912</v>
      </c>
      <c r="F54" s="3">
        <v>1.530874344015662</v>
      </c>
      <c r="G54" s="3">
        <v>0.32185470789915688</v>
      </c>
    </row>
    <row r="55" spans="1:7" x14ac:dyDescent="0.2">
      <c r="A55" s="3" t="s">
        <v>5835</v>
      </c>
      <c r="B55" s="3">
        <v>3.7789885247335322</v>
      </c>
      <c r="C55" s="3">
        <v>1.240900004301855</v>
      </c>
      <c r="D55" s="3">
        <v>3.4985280242353878</v>
      </c>
      <c r="E55" s="3">
        <v>2.7579446252792441</v>
      </c>
      <c r="F55" s="3">
        <v>0.9723786317146228</v>
      </c>
      <c r="G55" s="3">
        <v>0.38896543684625912</v>
      </c>
    </row>
  </sheetData>
  <pageMargins left="0.7" right="0.7" top="0.75" bottom="0.75" header="0.3" footer="0.3"/>
  <tableParts count="3">
    <tablePart r:id="rId1"/>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56"/>
  <sheetViews>
    <sheetView zoomScaleNormal="100" workbookViewId="0">
      <selection activeCell="C8" sqref="C8"/>
    </sheetView>
  </sheetViews>
  <sheetFormatPr baseColWidth="10" defaultColWidth="8.83203125" defaultRowHeight="15" x14ac:dyDescent="0.2"/>
  <cols>
    <col min="1" max="4" width="15.83203125" style="3" customWidth="1"/>
  </cols>
  <sheetData>
    <row r="1" spans="1:4" x14ac:dyDescent="0.2">
      <c r="A1" s="3" t="s">
        <v>5940</v>
      </c>
    </row>
    <row r="2" spans="1:4" x14ac:dyDescent="0.2">
      <c r="A2" s="356" t="s">
        <v>5959</v>
      </c>
      <c r="B2" s="357" t="s">
        <v>5941</v>
      </c>
      <c r="C2" s="358" t="s">
        <v>5942</v>
      </c>
      <c r="D2" s="359" t="s">
        <v>5943</v>
      </c>
    </row>
    <row r="3" spans="1:4" x14ac:dyDescent="0.2">
      <c r="A3" s="3" t="s">
        <v>5944</v>
      </c>
      <c r="B3" s="360">
        <v>61.931334333297208</v>
      </c>
      <c r="C3" s="361">
        <v>45.293253320914872</v>
      </c>
      <c r="D3" s="362">
        <v>16.63808101238234</v>
      </c>
    </row>
    <row r="4" spans="1:4" x14ac:dyDescent="0.2">
      <c r="A4" s="3" t="s">
        <v>5945</v>
      </c>
      <c r="B4" s="363">
        <v>55.097884137572493</v>
      </c>
      <c r="C4" s="364">
        <v>35.874257284319867</v>
      </c>
      <c r="D4" s="365">
        <v>19.223626853252625</v>
      </c>
    </row>
    <row r="5" spans="1:4" x14ac:dyDescent="0.2">
      <c r="A5" s="3" t="s">
        <v>5946</v>
      </c>
      <c r="B5" s="366">
        <v>47.941592465182659</v>
      </c>
      <c r="C5" s="367">
        <v>33.843639500149216</v>
      </c>
      <c r="D5" s="368">
        <v>14.097952965033441</v>
      </c>
    </row>
    <row r="6" spans="1:4" x14ac:dyDescent="0.2">
      <c r="A6" s="3" t="s">
        <v>5947</v>
      </c>
      <c r="B6" s="369">
        <v>56.790361235339276</v>
      </c>
      <c r="C6" s="370">
        <v>41.912556524561786</v>
      </c>
      <c r="D6" s="371">
        <v>14.877804710777486</v>
      </c>
    </row>
    <row r="7" spans="1:4" x14ac:dyDescent="0.2">
      <c r="A7" s="3" t="s">
        <v>5948</v>
      </c>
      <c r="B7" s="372">
        <v>48.267745700291464</v>
      </c>
      <c r="C7" s="373">
        <v>37.923869027220931</v>
      </c>
      <c r="D7" s="374">
        <v>10.343876673070527</v>
      </c>
    </row>
    <row r="8" spans="1:4" x14ac:dyDescent="0.2">
      <c r="A8" s="3" t="s">
        <v>5949</v>
      </c>
      <c r="B8" s="375">
        <v>53.439093383704041</v>
      </c>
      <c r="C8" s="376">
        <v>37.569832795089908</v>
      </c>
      <c r="D8" s="377">
        <v>15.869260588614132</v>
      </c>
    </row>
    <row r="9" spans="1:4" x14ac:dyDescent="0.2">
      <c r="A9" s="3" t="s">
        <v>5950</v>
      </c>
      <c r="B9" s="378">
        <v>33.214108765498167</v>
      </c>
      <c r="C9" s="379">
        <v>26.96196901235955</v>
      </c>
      <c r="D9" s="380">
        <v>6.2521397531386205</v>
      </c>
    </row>
    <row r="10" spans="1:4" x14ac:dyDescent="0.2">
      <c r="A10" s="3" t="s">
        <v>5951</v>
      </c>
      <c r="B10" s="381">
        <v>39.159266097287905</v>
      </c>
      <c r="C10" s="382">
        <v>28.089377791700485</v>
      </c>
      <c r="D10" s="383">
        <v>11.069888305587417</v>
      </c>
    </row>
    <row r="11" spans="1:4" x14ac:dyDescent="0.2">
      <c r="A11" s="3" t="s">
        <v>5952</v>
      </c>
      <c r="B11" s="384">
        <v>66.742184908705852</v>
      </c>
      <c r="C11" s="385">
        <v>35.571575302429352</v>
      </c>
      <c r="D11" s="386">
        <v>31.170609606276503</v>
      </c>
    </row>
    <row r="12" spans="1:4" x14ac:dyDescent="0.2">
      <c r="A12" s="3" t="s">
        <v>5953</v>
      </c>
      <c r="B12" s="387">
        <v>68.529657632121143</v>
      </c>
      <c r="C12" s="388">
        <v>46.589171973556518</v>
      </c>
      <c r="D12" s="389">
        <v>21.940485658564619</v>
      </c>
    </row>
    <row r="13" spans="1:4" x14ac:dyDescent="0.2">
      <c r="A13" s="3" t="s">
        <v>5954</v>
      </c>
      <c r="B13" s="390">
        <v>49.830689751549095</v>
      </c>
      <c r="C13" s="391">
        <v>34.112470963118753</v>
      </c>
      <c r="D13" s="392">
        <v>15.718218788430342</v>
      </c>
    </row>
    <row r="14" spans="1:4" x14ac:dyDescent="0.2">
      <c r="A14" s="3" t="s">
        <v>5955</v>
      </c>
      <c r="B14" s="393">
        <v>44.729161816880712</v>
      </c>
      <c r="C14" s="394">
        <v>31.445316603288102</v>
      </c>
      <c r="D14" s="395">
        <v>13.28384521359261</v>
      </c>
    </row>
    <row r="15" spans="1:4" x14ac:dyDescent="0.2">
      <c r="A15" s="3" t="s">
        <v>5956</v>
      </c>
      <c r="B15" s="396">
        <v>51.723298828654762</v>
      </c>
      <c r="C15" s="397">
        <v>36.302365044578757</v>
      </c>
      <c r="D15" s="398">
        <v>15.420933784076009</v>
      </c>
    </row>
    <row r="16" spans="1:4" x14ac:dyDescent="0.2">
      <c r="A16" s="3" t="s">
        <v>5957</v>
      </c>
      <c r="B16" s="399">
        <v>65.073328511411916</v>
      </c>
      <c r="C16" s="400">
        <v>39.061631758034274</v>
      </c>
      <c r="D16" s="401">
        <v>26.011696753377645</v>
      </c>
    </row>
    <row r="17" spans="1:4" x14ac:dyDescent="0.2">
      <c r="A17" s="3" t="s">
        <v>5958</v>
      </c>
      <c r="B17" s="402">
        <v>55.032029908812049</v>
      </c>
      <c r="C17" s="403">
        <v>38.366103507445409</v>
      </c>
      <c r="D17" s="404">
        <v>16.665926401366644</v>
      </c>
    </row>
    <row r="18" spans="1:4" x14ac:dyDescent="0.2">
      <c r="A18" s="3" t="s">
        <v>5835</v>
      </c>
      <c r="B18" s="3">
        <v>52.866473643159729</v>
      </c>
      <c r="C18" s="3">
        <v>36.369284538737823</v>
      </c>
      <c r="D18" s="3">
        <v>16.497189104421921</v>
      </c>
    </row>
    <row r="20" spans="1:4" x14ac:dyDescent="0.2">
      <c r="A20" s="3" t="s">
        <v>5960</v>
      </c>
    </row>
    <row r="21" spans="1:4" x14ac:dyDescent="0.2">
      <c r="A21" s="405" t="s">
        <v>5978</v>
      </c>
      <c r="B21" s="406" t="s">
        <v>5961</v>
      </c>
      <c r="C21" s="407" t="s">
        <v>5962</v>
      </c>
      <c r="D21" s="408" t="s">
        <v>5963</v>
      </c>
    </row>
    <row r="22" spans="1:4" x14ac:dyDescent="0.2">
      <c r="A22" s="3" t="s">
        <v>5964</v>
      </c>
      <c r="B22" s="409">
        <v>63.830951414908846</v>
      </c>
      <c r="C22" s="410">
        <v>47.026139214409177</v>
      </c>
      <c r="D22" s="411">
        <v>16.804812200499672</v>
      </c>
    </row>
    <row r="23" spans="1:4" x14ac:dyDescent="0.2">
      <c r="A23" s="3" t="s">
        <v>5965</v>
      </c>
      <c r="B23" s="412">
        <v>59.209089665566594</v>
      </c>
      <c r="C23" s="413">
        <v>38.252100468457158</v>
      </c>
      <c r="D23" s="414">
        <v>20.956989197109436</v>
      </c>
    </row>
    <row r="24" spans="1:4" x14ac:dyDescent="0.2">
      <c r="A24" s="3" t="s">
        <v>5966</v>
      </c>
      <c r="B24" s="415">
        <v>50.625980289626057</v>
      </c>
      <c r="C24" s="416">
        <v>35.521838606833498</v>
      </c>
      <c r="D24" s="417">
        <v>15.104141682792555</v>
      </c>
    </row>
    <row r="25" spans="1:4" x14ac:dyDescent="0.2">
      <c r="A25" s="3" t="s">
        <v>5967</v>
      </c>
      <c r="B25" s="418">
        <v>59.828038783954121</v>
      </c>
      <c r="C25" s="419">
        <v>43.068447401073669</v>
      </c>
      <c r="D25" s="420">
        <v>16.759591382880455</v>
      </c>
    </row>
    <row r="26" spans="1:4" x14ac:dyDescent="0.2">
      <c r="A26" s="3" t="s">
        <v>5968</v>
      </c>
      <c r="B26" s="421">
        <v>49.924836249886688</v>
      </c>
      <c r="C26" s="422">
        <v>38.967747077129872</v>
      </c>
      <c r="D26" s="423">
        <v>10.957089172756817</v>
      </c>
    </row>
    <row r="27" spans="1:4" x14ac:dyDescent="0.2">
      <c r="A27" s="3" t="s">
        <v>5969</v>
      </c>
      <c r="B27" s="424">
        <v>55.522928909693142</v>
      </c>
      <c r="C27" s="425">
        <v>38.499083753409479</v>
      </c>
      <c r="D27" s="426">
        <v>17.023845156283656</v>
      </c>
    </row>
    <row r="28" spans="1:4" x14ac:dyDescent="0.2">
      <c r="A28" s="479" t="s">
        <v>12</v>
      </c>
      <c r="B28" s="325" t="s">
        <v>6067</v>
      </c>
      <c r="C28" s="325" t="s">
        <v>6067</v>
      </c>
      <c r="D28" s="325" t="s">
        <v>6067</v>
      </c>
    </row>
    <row r="29" spans="1:4" x14ac:dyDescent="0.2">
      <c r="A29" s="3" t="s">
        <v>5970</v>
      </c>
      <c r="B29" s="480">
        <v>38.949694572499105</v>
      </c>
      <c r="C29" s="487">
        <v>27.703461898053984</v>
      </c>
      <c r="D29" s="494">
        <v>11.246232674445119</v>
      </c>
    </row>
    <row r="30" spans="1:4" x14ac:dyDescent="0.2">
      <c r="A30" s="3" t="s">
        <v>5971</v>
      </c>
      <c r="B30" s="481">
        <v>69.373461041928607</v>
      </c>
      <c r="C30" s="488">
        <v>36.552918053814246</v>
      </c>
      <c r="D30" s="495">
        <v>32.820542988114362</v>
      </c>
    </row>
    <row r="31" spans="1:4" x14ac:dyDescent="0.2">
      <c r="A31" s="3" t="s">
        <v>5972</v>
      </c>
      <c r="B31" s="482">
        <v>69.126800320044055</v>
      </c>
      <c r="C31" s="489">
        <v>47.060460100297355</v>
      </c>
      <c r="D31" s="496">
        <v>22.066340219746692</v>
      </c>
    </row>
    <row r="32" spans="1:4" x14ac:dyDescent="0.2">
      <c r="A32" s="3" t="s">
        <v>5973</v>
      </c>
      <c r="B32" s="483">
        <v>54.849823209080583</v>
      </c>
      <c r="C32" s="490">
        <v>37.605083116780058</v>
      </c>
      <c r="D32" s="497">
        <v>17.244740092300521</v>
      </c>
    </row>
    <row r="33" spans="1:4" x14ac:dyDescent="0.2">
      <c r="A33" s="3" t="s">
        <v>5974</v>
      </c>
      <c r="B33" s="484">
        <v>50.517829978927018</v>
      </c>
      <c r="C33" s="491">
        <v>33.453014840360034</v>
      </c>
      <c r="D33" s="498">
        <v>17.064815138566985</v>
      </c>
    </row>
    <row r="34" spans="1:4" x14ac:dyDescent="0.2">
      <c r="A34" s="3" t="s">
        <v>5975</v>
      </c>
      <c r="B34" s="485">
        <v>54.542409716694436</v>
      </c>
      <c r="C34" s="492">
        <v>37.978111306753227</v>
      </c>
      <c r="D34" s="499">
        <v>16.564298409941212</v>
      </c>
    </row>
    <row r="35" spans="1:4" x14ac:dyDescent="0.2">
      <c r="A35" s="3" t="s">
        <v>5976</v>
      </c>
      <c r="B35" s="486">
        <v>66.450228424451595</v>
      </c>
      <c r="C35" s="493">
        <v>39.889478761715381</v>
      </c>
      <c r="D35" s="500">
        <v>26.560749662736207</v>
      </c>
    </row>
    <row r="36" spans="1:4" x14ac:dyDescent="0.2">
      <c r="A36" s="3" t="s">
        <v>5977</v>
      </c>
      <c r="B36" s="427">
        <v>55.677140580789995</v>
      </c>
      <c r="C36" s="428">
        <v>39.16248313582922</v>
      </c>
      <c r="D36" s="429">
        <v>16.514657444960775</v>
      </c>
    </row>
    <row r="37" spans="1:4" x14ac:dyDescent="0.2">
      <c r="A37" s="3" t="s">
        <v>5835</v>
      </c>
      <c r="B37" s="3">
        <v>57.118198901892917</v>
      </c>
      <c r="C37" s="3">
        <v>38.679387736025447</v>
      </c>
      <c r="D37" s="3">
        <v>18.43881116586746</v>
      </c>
    </row>
    <row r="39" spans="1:4" x14ac:dyDescent="0.2">
      <c r="A39" s="3" t="s">
        <v>5979</v>
      </c>
    </row>
    <row r="40" spans="1:4" x14ac:dyDescent="0.2">
      <c r="A40" s="430" t="s">
        <v>5998</v>
      </c>
      <c r="B40" s="431" t="s">
        <v>5980</v>
      </c>
      <c r="C40" s="432" t="s">
        <v>5981</v>
      </c>
      <c r="D40" s="433" t="s">
        <v>5982</v>
      </c>
    </row>
    <row r="41" spans="1:4" x14ac:dyDescent="0.2">
      <c r="A41" s="3" t="s">
        <v>5983</v>
      </c>
      <c r="B41" s="434">
        <v>55.534986413060615</v>
      </c>
      <c r="C41" s="435">
        <v>39.458318907998425</v>
      </c>
      <c r="D41" s="436">
        <v>16.076667505062183</v>
      </c>
    </row>
    <row r="42" spans="1:4" x14ac:dyDescent="0.2">
      <c r="A42" s="3" t="s">
        <v>5984</v>
      </c>
      <c r="B42" s="437">
        <v>44.680449904812825</v>
      </c>
      <c r="C42" s="438">
        <v>29.84901120554937</v>
      </c>
      <c r="D42" s="439">
        <v>14.831438699263451</v>
      </c>
    </row>
    <row r="43" spans="1:4" x14ac:dyDescent="0.2">
      <c r="A43" s="3" t="s">
        <v>5985</v>
      </c>
      <c r="B43" s="440">
        <v>37.387360842313626</v>
      </c>
      <c r="C43" s="441">
        <v>27.245449059872445</v>
      </c>
      <c r="D43" s="442">
        <v>10.141911782441181</v>
      </c>
    </row>
    <row r="44" spans="1:4" x14ac:dyDescent="0.2">
      <c r="A44" s="3" t="s">
        <v>5986</v>
      </c>
      <c r="B44" s="443">
        <v>39.58196214183711</v>
      </c>
      <c r="C44" s="444">
        <v>35.364451535398409</v>
      </c>
      <c r="D44" s="445">
        <v>4.2175106064386982</v>
      </c>
    </row>
    <row r="45" spans="1:4" x14ac:dyDescent="0.2">
      <c r="A45" s="3" t="s">
        <v>5987</v>
      </c>
      <c r="B45" s="446">
        <v>39.632522217414426</v>
      </c>
      <c r="C45" s="447">
        <v>32.484141999608958</v>
      </c>
      <c r="D45" s="448">
        <v>7.1483802178054656</v>
      </c>
    </row>
    <row r="46" spans="1:4" x14ac:dyDescent="0.2">
      <c r="A46" s="3" t="s">
        <v>5988</v>
      </c>
      <c r="B46" s="449">
        <v>42.602386625043764</v>
      </c>
      <c r="C46" s="450">
        <v>32.737388000420466</v>
      </c>
      <c r="D46" s="451">
        <v>9.8649986246232952</v>
      </c>
    </row>
    <row r="47" spans="1:4" x14ac:dyDescent="0.2">
      <c r="A47" s="3" t="s">
        <v>5989</v>
      </c>
      <c r="B47" s="452">
        <v>33.214108765498167</v>
      </c>
      <c r="C47" s="453">
        <v>26.96196901235955</v>
      </c>
      <c r="D47" s="454">
        <v>6.2521397531386205</v>
      </c>
    </row>
    <row r="48" spans="1:4" x14ac:dyDescent="0.2">
      <c r="A48" s="3" t="s">
        <v>5990</v>
      </c>
      <c r="B48" s="455">
        <v>40.233637558833756</v>
      </c>
      <c r="C48" s="456">
        <v>30.06778121797036</v>
      </c>
      <c r="D48" s="457">
        <v>10.1658563408634</v>
      </c>
    </row>
    <row r="49" spans="1:4" x14ac:dyDescent="0.2">
      <c r="A49" s="3" t="s">
        <v>5991</v>
      </c>
      <c r="B49" s="458">
        <v>53.588933556286392</v>
      </c>
      <c r="C49" s="459">
        <v>30.666028632938964</v>
      </c>
      <c r="D49" s="460">
        <v>22.922904923347424</v>
      </c>
    </row>
    <row r="50" spans="1:4" x14ac:dyDescent="0.2">
      <c r="A50" s="3" t="s">
        <v>5992</v>
      </c>
      <c r="B50" s="461">
        <v>62.913726203681186</v>
      </c>
      <c r="C50" s="462">
        <v>42.156861478353505</v>
      </c>
      <c r="D50" s="463">
        <v>20.756864725327684</v>
      </c>
    </row>
    <row r="51" spans="1:4" x14ac:dyDescent="0.2">
      <c r="A51" s="3" t="s">
        <v>5993</v>
      </c>
      <c r="B51" s="464">
        <v>36.942986900118754</v>
      </c>
      <c r="C51" s="465">
        <v>25.14443933125639</v>
      </c>
      <c r="D51" s="466">
        <v>11.798547568862366</v>
      </c>
    </row>
    <row r="52" spans="1:4" x14ac:dyDescent="0.2">
      <c r="A52" s="3" t="s">
        <v>5994</v>
      </c>
      <c r="B52" s="467">
        <v>35.090534936408986</v>
      </c>
      <c r="C52" s="468">
        <v>28.102327567814282</v>
      </c>
      <c r="D52" s="469">
        <v>6.9882073685947068</v>
      </c>
    </row>
    <row r="53" spans="1:4" x14ac:dyDescent="0.2">
      <c r="A53" s="3" t="s">
        <v>5995</v>
      </c>
      <c r="B53" s="470">
        <v>32.542829994880123</v>
      </c>
      <c r="C53" s="471">
        <v>24.901040218614895</v>
      </c>
      <c r="D53" s="472">
        <v>7.6417897762652318</v>
      </c>
    </row>
    <row r="54" spans="1:4" x14ac:dyDescent="0.2">
      <c r="A54" s="3" t="s">
        <v>5996</v>
      </c>
      <c r="B54" s="473">
        <v>59.943461356909317</v>
      </c>
      <c r="C54" s="474">
        <v>35.977351547890372</v>
      </c>
      <c r="D54" s="475">
        <v>23.966109809018942</v>
      </c>
    </row>
    <row r="55" spans="1:4" x14ac:dyDescent="0.2">
      <c r="A55" s="3" t="s">
        <v>5997</v>
      </c>
      <c r="B55" s="476">
        <v>49.899490007494116</v>
      </c>
      <c r="C55" s="477">
        <v>32.030058551400401</v>
      </c>
      <c r="D55" s="478">
        <v>17.869431456093714</v>
      </c>
    </row>
    <row r="56" spans="1:4" x14ac:dyDescent="0.2">
      <c r="A56" s="3" t="s">
        <v>5835</v>
      </c>
      <c r="B56" s="3">
        <v>40.548614458798703</v>
      </c>
      <c r="C56" s="3">
        <v>29.676583539988471</v>
      </c>
      <c r="D56" s="3">
        <v>10.87203091881022</v>
      </c>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27"/>
  <sheetViews>
    <sheetView zoomScaleNormal="100" workbookViewId="0">
      <selection activeCell="D8" sqref="D8"/>
    </sheetView>
  </sheetViews>
  <sheetFormatPr baseColWidth="10" defaultColWidth="8.83203125" defaultRowHeight="15" x14ac:dyDescent="0.2"/>
  <cols>
    <col min="1" max="8" width="15.83203125" style="3" customWidth="1"/>
  </cols>
  <sheetData>
    <row r="1" spans="1:8" s="1" customFormat="1" x14ac:dyDescent="0.2">
      <c r="A1" s="501" t="s">
        <v>5435</v>
      </c>
      <c r="B1" s="502"/>
      <c r="C1" s="503"/>
      <c r="D1" s="504"/>
      <c r="E1" s="505"/>
      <c r="F1" s="506"/>
      <c r="G1" s="507"/>
      <c r="H1" s="508"/>
    </row>
    <row r="2" spans="1:8" s="2" customFormat="1" x14ac:dyDescent="0.2">
      <c r="A2" s="509" t="s">
        <v>5456</v>
      </c>
      <c r="B2" s="509" t="s">
        <v>5711</v>
      </c>
      <c r="C2" s="509" t="s">
        <v>5450</v>
      </c>
      <c r="D2" s="509" t="s">
        <v>5451</v>
      </c>
      <c r="E2" s="509" t="s">
        <v>5452</v>
      </c>
      <c r="F2" s="509" t="s">
        <v>5453</v>
      </c>
      <c r="G2" s="509" t="s">
        <v>5454</v>
      </c>
      <c r="H2" s="509" t="s">
        <v>5457</v>
      </c>
    </row>
    <row r="3" spans="1:8" x14ac:dyDescent="0.2">
      <c r="A3" s="3" t="s">
        <v>5436</v>
      </c>
      <c r="B3" s="3">
        <v>91.90680740267571</v>
      </c>
      <c r="C3" s="3">
        <v>75.021335017044095</v>
      </c>
      <c r="D3" s="3">
        <v>71.82027117449131</v>
      </c>
      <c r="E3" s="3">
        <v>67.788360060110094</v>
      </c>
      <c r="F3" s="3">
        <v>73.050376541130888</v>
      </c>
      <c r="G3" s="3">
        <v>60.916248852617628</v>
      </c>
      <c r="H3" s="3">
        <v>82.577423718366234</v>
      </c>
    </row>
    <row r="4" spans="1:8" x14ac:dyDescent="0.2">
      <c r="A4" s="3" t="s">
        <v>5437</v>
      </c>
      <c r="B4" s="3">
        <v>92.684998329459518</v>
      </c>
      <c r="C4" s="3">
        <v>65.948264451592181</v>
      </c>
      <c r="D4" s="3">
        <v>55.123782748342393</v>
      </c>
      <c r="E4" s="3">
        <v>63.311392107611063</v>
      </c>
      <c r="F4" s="3">
        <v>68.454128543479527</v>
      </c>
      <c r="G4" s="3">
        <v>44.914359118233307</v>
      </c>
      <c r="H4" s="3">
        <v>51.044780458551557</v>
      </c>
    </row>
    <row r="5" spans="1:8" x14ac:dyDescent="0.2">
      <c r="A5" s="3" t="s">
        <v>5438</v>
      </c>
      <c r="B5" s="3">
        <v>94.275374397927436</v>
      </c>
      <c r="C5" s="3">
        <v>75.370213473697291</v>
      </c>
      <c r="D5" s="3">
        <v>66.986481062768348</v>
      </c>
      <c r="E5" s="3">
        <v>70.010468581854454</v>
      </c>
      <c r="F5" s="3">
        <v>69.699537903455365</v>
      </c>
      <c r="G5" s="3">
        <v>66.980799925937418</v>
      </c>
      <c r="H5" s="3">
        <v>72.562943053381801</v>
      </c>
    </row>
    <row r="6" spans="1:8" x14ac:dyDescent="0.2">
      <c r="A6" s="3" t="s">
        <v>5439</v>
      </c>
      <c r="B6" s="3">
        <v>92.003521099567536</v>
      </c>
      <c r="C6" s="3">
        <v>74.932862234657847</v>
      </c>
      <c r="D6" s="3">
        <v>72.703281841163204</v>
      </c>
      <c r="E6" s="3">
        <v>67.721177072548727</v>
      </c>
      <c r="F6" s="3">
        <v>75.185434957635493</v>
      </c>
      <c r="G6" s="3">
        <v>54.216273252528467</v>
      </c>
      <c r="H6" s="3">
        <v>76.011100521424467</v>
      </c>
    </row>
    <row r="7" spans="1:8" x14ac:dyDescent="0.2">
      <c r="A7" s="3" t="s">
        <v>5440</v>
      </c>
      <c r="B7" s="3">
        <v>88.452709507902426</v>
      </c>
      <c r="C7" s="3">
        <v>77.747020742447503</v>
      </c>
      <c r="D7" s="3">
        <v>69.612645320031618</v>
      </c>
      <c r="E7" s="3">
        <v>69.898085669799045</v>
      </c>
      <c r="F7" s="3">
        <v>72.905554994537567</v>
      </c>
      <c r="G7" s="3">
        <v>63.838694669988172</v>
      </c>
      <c r="H7" s="3">
        <v>62.809537552671529</v>
      </c>
    </row>
    <row r="8" spans="1:8" x14ac:dyDescent="0.2">
      <c r="A8" s="3" t="s">
        <v>5441</v>
      </c>
      <c r="B8" s="3">
        <v>91.614561728565647</v>
      </c>
      <c r="C8" s="3">
        <v>70.774685676242754</v>
      </c>
      <c r="D8" s="3">
        <v>68.639637998779278</v>
      </c>
      <c r="E8" s="3">
        <v>66.884357711918426</v>
      </c>
      <c r="F8" s="3">
        <v>67.66328013614374</v>
      </c>
      <c r="G8" s="3">
        <v>46.38718954454724</v>
      </c>
      <c r="H8" s="3">
        <v>61.820860420894583</v>
      </c>
    </row>
    <row r="9" spans="1:8" x14ac:dyDescent="0.2">
      <c r="A9" s="3" t="s">
        <v>5442</v>
      </c>
      <c r="B9" s="3">
        <v>96.442769192272067</v>
      </c>
      <c r="C9" s="3">
        <v>92.55101002468939</v>
      </c>
      <c r="D9" s="3">
        <v>94.509680226153264</v>
      </c>
      <c r="E9" s="3">
        <v>89.649187223515838</v>
      </c>
      <c r="F9" s="3">
        <v>90.295020166452275</v>
      </c>
      <c r="G9" s="3">
        <v>88.327536744691344</v>
      </c>
      <c r="H9" s="3">
        <v>89.932721371105757</v>
      </c>
    </row>
    <row r="10" spans="1:8" x14ac:dyDescent="0.2">
      <c r="A10" s="3" t="s">
        <v>5443</v>
      </c>
      <c r="B10" s="3">
        <v>36.584550076043762</v>
      </c>
      <c r="C10" s="3">
        <v>20.9635936117614</v>
      </c>
      <c r="D10" s="3">
        <v>19.684769006796561</v>
      </c>
      <c r="E10" s="3">
        <v>20.50953616150252</v>
      </c>
      <c r="F10" s="3">
        <v>12.04422659280293</v>
      </c>
      <c r="G10" s="3">
        <v>12.247269573416331</v>
      </c>
      <c r="H10" s="3">
        <v>20.812373093688208</v>
      </c>
    </row>
    <row r="11" spans="1:8" x14ac:dyDescent="0.2">
      <c r="A11" s="3" t="s">
        <v>5444</v>
      </c>
      <c r="B11" s="3">
        <v>91.685061996966738</v>
      </c>
      <c r="C11" s="3">
        <v>66.358144022007778</v>
      </c>
      <c r="D11" s="3">
        <v>55.732961703386003</v>
      </c>
      <c r="E11" s="3">
        <v>60.937313487503268</v>
      </c>
      <c r="F11" s="3">
        <v>67.860207709359514</v>
      </c>
      <c r="G11" s="3">
        <v>49.52480655074276</v>
      </c>
      <c r="H11" s="3">
        <v>64.867688286791974</v>
      </c>
    </row>
    <row r="12" spans="1:8" x14ac:dyDescent="0.2">
      <c r="A12" s="3" t="s">
        <v>5445</v>
      </c>
      <c r="B12" s="3">
        <v>92.932872152314417</v>
      </c>
      <c r="C12" s="3">
        <v>72.871793124133674</v>
      </c>
      <c r="D12" s="3">
        <v>65.96066963111862</v>
      </c>
      <c r="E12" s="3">
        <v>66.929262184471014</v>
      </c>
      <c r="F12" s="3">
        <v>70.135537145553684</v>
      </c>
      <c r="G12" s="3">
        <v>53.114641591012159</v>
      </c>
      <c r="H12" s="3">
        <v>80.713539114217213</v>
      </c>
    </row>
    <row r="13" spans="1:8" x14ac:dyDescent="0.2">
      <c r="A13" s="3" t="s">
        <v>5446</v>
      </c>
      <c r="B13" s="3">
        <v>92.971574899486313</v>
      </c>
      <c r="C13" s="3">
        <v>75.827177962358832</v>
      </c>
      <c r="D13" s="3">
        <v>74.733918708673443</v>
      </c>
      <c r="E13" s="3">
        <v>70.189839330891772</v>
      </c>
      <c r="F13" s="3">
        <v>75.076494254943626</v>
      </c>
      <c r="G13" s="3">
        <v>64.466534995573511</v>
      </c>
      <c r="H13" s="3">
        <v>74.334134771134643</v>
      </c>
    </row>
    <row r="14" spans="1:8" x14ac:dyDescent="0.2">
      <c r="A14" s="3" t="s">
        <v>5447</v>
      </c>
      <c r="B14" s="3">
        <v>95.639508373938696</v>
      </c>
      <c r="C14" s="3">
        <v>82.164891930133564</v>
      </c>
      <c r="D14" s="3">
        <v>66.072935009942015</v>
      </c>
      <c r="E14" s="3">
        <v>72.68680457642111</v>
      </c>
      <c r="F14" s="3">
        <v>72.55982441408824</v>
      </c>
      <c r="G14" s="3">
        <v>66.46445943874447</v>
      </c>
      <c r="H14" s="3">
        <v>77.311878173132513</v>
      </c>
    </row>
    <row r="15" spans="1:8" x14ac:dyDescent="0.2">
      <c r="A15" s="3" t="s">
        <v>5448</v>
      </c>
      <c r="B15" s="3">
        <v>93.353731845944608</v>
      </c>
      <c r="C15" s="3">
        <v>75.326723731936625</v>
      </c>
      <c r="D15" s="3">
        <v>66.316597473667485</v>
      </c>
      <c r="E15" s="3">
        <v>68.940762404362175</v>
      </c>
      <c r="F15" s="3">
        <v>73.106518488488817</v>
      </c>
      <c r="G15" s="3">
        <v>59.105563209956237</v>
      </c>
      <c r="H15" s="3">
        <v>68.572424372466685</v>
      </c>
    </row>
    <row r="16" spans="1:8" x14ac:dyDescent="0.2">
      <c r="A16" s="3" t="s">
        <v>5449</v>
      </c>
      <c r="B16" s="3">
        <v>90.099920875822136</v>
      </c>
      <c r="C16" s="3">
        <v>66.781794206634743</v>
      </c>
      <c r="D16" s="3">
        <v>62.875434264207271</v>
      </c>
      <c r="E16" s="3">
        <v>61.792550739541063</v>
      </c>
      <c r="F16" s="3">
        <v>72.973199889066862</v>
      </c>
      <c r="G16" s="3">
        <v>51.935745739124471</v>
      </c>
      <c r="H16" s="3">
        <v>66.670242942058906</v>
      </c>
    </row>
    <row r="17" spans="1:8" x14ac:dyDescent="0.2">
      <c r="A17" s="3" t="s">
        <v>5455</v>
      </c>
      <c r="B17" s="3">
        <v>89.751093873500224</v>
      </c>
      <c r="C17" s="3">
        <v>72.676426166555089</v>
      </c>
      <c r="D17" s="3">
        <v>66.67445633925189</v>
      </c>
      <c r="E17" s="3">
        <v>66.603809487834127</v>
      </c>
      <c r="F17" s="3">
        <v>65.300737806169806</v>
      </c>
      <c r="G17" s="3">
        <v>66.862034613311408</v>
      </c>
      <c r="H17" s="3">
        <v>55.356242717701917</v>
      </c>
    </row>
    <row r="18" spans="1:8" x14ac:dyDescent="0.2">
      <c r="A18" s="3" t="s">
        <v>5835</v>
      </c>
      <c r="B18" s="3">
        <v>91.240295233392004</v>
      </c>
      <c r="C18" s="3">
        <v>73.113524929509197</v>
      </c>
      <c r="D18" s="3">
        <v>65.631958867419044</v>
      </c>
      <c r="E18" s="3">
        <v>66.751371558102207</v>
      </c>
      <c r="F18" s="3">
        <v>70.528602607293408</v>
      </c>
      <c r="G18" s="3">
        <v>55.234948952657348</v>
      </c>
      <c r="H18" s="3">
        <v>69.610207902937802</v>
      </c>
    </row>
    <row r="20" spans="1:8" x14ac:dyDescent="0.2">
      <c r="A20" s="3" t="s">
        <v>5458</v>
      </c>
    </row>
    <row r="21" spans="1:8" s="2" customFormat="1" x14ac:dyDescent="0.2">
      <c r="A21" s="509" t="s">
        <v>5479</v>
      </c>
      <c r="B21" s="509" t="s">
        <v>5712</v>
      </c>
      <c r="C21" s="509" t="s">
        <v>5473</v>
      </c>
      <c r="D21" s="509" t="s">
        <v>5474</v>
      </c>
      <c r="E21" s="509" t="s">
        <v>5475</v>
      </c>
      <c r="F21" s="509" t="s">
        <v>5476</v>
      </c>
      <c r="G21" s="509" t="s">
        <v>5477</v>
      </c>
      <c r="H21" s="509" t="s">
        <v>5480</v>
      </c>
    </row>
    <row r="22" spans="1:8" x14ac:dyDescent="0.2">
      <c r="A22" s="3" t="s">
        <v>5459</v>
      </c>
      <c r="B22" s="3">
        <v>52.229653693040021</v>
      </c>
      <c r="C22" s="3">
        <v>71.211188774907782</v>
      </c>
      <c r="D22" s="3">
        <v>75.330442938338692</v>
      </c>
      <c r="E22" s="3">
        <v>74.807467522284341</v>
      </c>
      <c r="F22" s="3">
        <v>78.33164389178711</v>
      </c>
      <c r="G22" s="3">
        <v>79.07558034629605</v>
      </c>
      <c r="H22" s="3">
        <v>62.124487387025511</v>
      </c>
    </row>
    <row r="23" spans="1:8" x14ac:dyDescent="0.2">
      <c r="A23" s="3" t="s">
        <v>5460</v>
      </c>
      <c r="B23" s="3">
        <v>48.26548114230085</v>
      </c>
      <c r="C23" s="3">
        <v>74.624499078366213</v>
      </c>
      <c r="D23" s="3">
        <v>84.53439787027007</v>
      </c>
      <c r="E23" s="3">
        <v>78.530006045983541</v>
      </c>
      <c r="F23" s="3">
        <v>79.543470063055111</v>
      </c>
      <c r="G23" s="3">
        <v>87.816242219808515</v>
      </c>
      <c r="H23" s="3">
        <v>82.367906843898339</v>
      </c>
    </row>
    <row r="24" spans="1:8" x14ac:dyDescent="0.2">
      <c r="A24" s="3" t="s">
        <v>5461</v>
      </c>
      <c r="B24" s="3">
        <v>52.48036053036757</v>
      </c>
      <c r="C24" s="3">
        <v>72.176404732813168</v>
      </c>
      <c r="D24" s="3">
        <v>79.383885895501365</v>
      </c>
      <c r="E24" s="3">
        <v>79.857713281886817</v>
      </c>
      <c r="F24" s="3">
        <v>74.814383156553234</v>
      </c>
      <c r="G24" s="3">
        <v>76.910763944597306</v>
      </c>
      <c r="H24" s="3">
        <v>78.167438566160328</v>
      </c>
    </row>
    <row r="25" spans="1:8" x14ac:dyDescent="0.2">
      <c r="A25" s="3" t="s">
        <v>5462</v>
      </c>
      <c r="B25" s="3">
        <v>57.552178977169561</v>
      </c>
      <c r="C25" s="3">
        <v>72.207451291632125</v>
      </c>
      <c r="D25" s="3">
        <v>77.915405656439304</v>
      </c>
      <c r="E25" s="3">
        <v>79.042897455385628</v>
      </c>
      <c r="F25" s="3">
        <v>74.289157778186436</v>
      </c>
      <c r="G25" s="3">
        <v>80.798730002154059</v>
      </c>
      <c r="H25" s="3">
        <v>78.35282588693596</v>
      </c>
    </row>
    <row r="26" spans="1:8" x14ac:dyDescent="0.2">
      <c r="A26" s="3" t="s">
        <v>5463</v>
      </c>
      <c r="B26" s="3">
        <v>61.243756644714033</v>
      </c>
      <c r="C26" s="3">
        <v>76.785578821023279</v>
      </c>
      <c r="D26" s="3">
        <v>78.628276316730251</v>
      </c>
      <c r="E26" s="3">
        <v>80.554746361624098</v>
      </c>
      <c r="F26" s="3">
        <v>77.876854373659384</v>
      </c>
      <c r="G26" s="3">
        <v>84.098544261984259</v>
      </c>
      <c r="H26" s="3">
        <v>76.145255638882844</v>
      </c>
    </row>
    <row r="27" spans="1:8" x14ac:dyDescent="0.2">
      <c r="A27" s="3" t="s">
        <v>5464</v>
      </c>
      <c r="B27" s="3">
        <v>43.520143630756991</v>
      </c>
      <c r="C27" s="3">
        <v>67.538158212505394</v>
      </c>
      <c r="D27" s="3">
        <v>72.4953213824827</v>
      </c>
      <c r="E27" s="3">
        <v>73.799447033300879</v>
      </c>
      <c r="F27" s="3">
        <v>74.156652155686274</v>
      </c>
      <c r="G27" s="3">
        <v>84.395674547218107</v>
      </c>
      <c r="H27" s="3">
        <v>76.014794699289936</v>
      </c>
    </row>
    <row r="28" spans="1:8" x14ac:dyDescent="0.2">
      <c r="A28" s="3" t="s">
        <v>5465</v>
      </c>
      <c r="B28" s="3">
        <v>16.678963565912579</v>
      </c>
      <c r="C28" s="3">
        <v>27.218456860224141</v>
      </c>
      <c r="D28" s="3">
        <v>37.928058055691899</v>
      </c>
      <c r="E28" s="3">
        <v>43.116610986275347</v>
      </c>
      <c r="F28" s="3">
        <v>46.856651590692778</v>
      </c>
      <c r="G28" s="3">
        <v>37.581865742163998</v>
      </c>
      <c r="H28" s="3">
        <v>31.037013623469861</v>
      </c>
    </row>
    <row r="29" spans="1:8" x14ac:dyDescent="0.2">
      <c r="A29" s="3" t="s">
        <v>5466</v>
      </c>
      <c r="B29" s="3">
        <v>85.533508175132951</v>
      </c>
      <c r="C29" s="3">
        <v>90.044812230976262</v>
      </c>
      <c r="D29" s="3">
        <v>95.723529532115521</v>
      </c>
      <c r="E29" s="3">
        <v>93.0726583304711</v>
      </c>
      <c r="F29" s="3">
        <v>96.607553570341139</v>
      </c>
      <c r="G29" s="3">
        <v>95.943881697137158</v>
      </c>
      <c r="H29" s="3">
        <v>87.571490394447395</v>
      </c>
    </row>
    <row r="30" spans="1:8" x14ac:dyDescent="0.2">
      <c r="A30" s="3" t="s">
        <v>5467</v>
      </c>
      <c r="B30" s="3">
        <v>47.632521827635657</v>
      </c>
      <c r="C30" s="3">
        <v>71.720692278451736</v>
      </c>
      <c r="D30" s="3">
        <v>83.504976769232272</v>
      </c>
      <c r="E30" s="3">
        <v>76.217262589005699</v>
      </c>
      <c r="F30" s="3">
        <v>75.986859006823039</v>
      </c>
      <c r="G30" s="3">
        <v>84.561375847029481</v>
      </c>
      <c r="H30" s="3">
        <v>74.595919211521434</v>
      </c>
    </row>
    <row r="31" spans="1:8" x14ac:dyDescent="0.2">
      <c r="A31" s="3" t="s">
        <v>5468</v>
      </c>
      <c r="B31" s="3">
        <v>61.878902099679067</v>
      </c>
      <c r="C31" s="3">
        <v>73.90328499004859</v>
      </c>
      <c r="D31" s="3">
        <v>79.228242626242633</v>
      </c>
      <c r="E31" s="3">
        <v>75.007937895848542</v>
      </c>
      <c r="F31" s="3">
        <v>76.166774764502776</v>
      </c>
      <c r="G31" s="3">
        <v>80.675006914301079</v>
      </c>
      <c r="H31" s="3">
        <v>75.142544582458953</v>
      </c>
    </row>
    <row r="32" spans="1:8" x14ac:dyDescent="0.2">
      <c r="A32" s="3" t="s">
        <v>5469</v>
      </c>
      <c r="B32" s="3">
        <v>40.159058812102963</v>
      </c>
      <c r="C32" s="3">
        <v>68.048192951965319</v>
      </c>
      <c r="D32" s="3">
        <v>71.608759417896138</v>
      </c>
      <c r="E32" s="3">
        <v>77.680482125026884</v>
      </c>
      <c r="F32" s="3">
        <v>70.895428876872231</v>
      </c>
      <c r="G32" s="3">
        <v>76.405722117603645</v>
      </c>
      <c r="H32" s="3">
        <v>70.116859459521109</v>
      </c>
    </row>
    <row r="33" spans="1:8" x14ac:dyDescent="0.2">
      <c r="A33" s="3" t="s">
        <v>5470</v>
      </c>
      <c r="B33" s="3">
        <v>28.3870863489526</v>
      </c>
      <c r="C33" s="3">
        <v>57.723230006880399</v>
      </c>
      <c r="D33" s="3">
        <v>71.53005437174366</v>
      </c>
      <c r="E33" s="3">
        <v>70.312115602944829</v>
      </c>
      <c r="F33" s="3">
        <v>70.875458505752775</v>
      </c>
      <c r="G33" s="3">
        <v>78.874971240519699</v>
      </c>
      <c r="H33" s="3">
        <v>63.677762861970763</v>
      </c>
    </row>
    <row r="34" spans="1:8" x14ac:dyDescent="0.2">
      <c r="A34" s="3" t="s">
        <v>5471</v>
      </c>
      <c r="B34" s="3">
        <v>55.483726162659408</v>
      </c>
      <c r="C34" s="3">
        <v>73.610110910897177</v>
      </c>
      <c r="D34" s="3">
        <v>79.733849159903258</v>
      </c>
      <c r="E34" s="3">
        <v>79.442286959986802</v>
      </c>
      <c r="F34" s="3">
        <v>79.497061776346186</v>
      </c>
      <c r="G34" s="3">
        <v>85.43716739259068</v>
      </c>
      <c r="H34" s="3">
        <v>82.356101082711419</v>
      </c>
    </row>
    <row r="35" spans="1:8" x14ac:dyDescent="0.2">
      <c r="A35" s="3" t="s">
        <v>5472</v>
      </c>
      <c r="B35" s="3">
        <v>53.564230866740438</v>
      </c>
      <c r="C35" s="3">
        <v>76.770398541265905</v>
      </c>
      <c r="D35" s="3">
        <v>79.476404258897375</v>
      </c>
      <c r="E35" s="3">
        <v>77.156792122973471</v>
      </c>
      <c r="F35" s="3">
        <v>73.297874782165991</v>
      </c>
      <c r="G35" s="3">
        <v>81.872227533285653</v>
      </c>
      <c r="H35" s="3">
        <v>78.580166434161768</v>
      </c>
    </row>
    <row r="36" spans="1:8" x14ac:dyDescent="0.2">
      <c r="A36" s="3" t="s">
        <v>5478</v>
      </c>
      <c r="B36" s="3">
        <v>65.662148685283924</v>
      </c>
      <c r="C36" s="3">
        <v>73.637082260967318</v>
      </c>
      <c r="D36" s="3">
        <v>81.369203591262064</v>
      </c>
      <c r="E36" s="3">
        <v>79.333882211005843</v>
      </c>
      <c r="F36" s="3">
        <v>80.522653517693826</v>
      </c>
      <c r="G36" s="3">
        <v>71.339436597764362</v>
      </c>
      <c r="H36" s="3">
        <v>76.475123179943324</v>
      </c>
    </row>
    <row r="37" spans="1:8" x14ac:dyDescent="0.2">
      <c r="A37" s="3" t="s">
        <v>5835</v>
      </c>
      <c r="B37" s="3">
        <v>47.58026495933877</v>
      </c>
      <c r="C37" s="3">
        <v>69.781853274398586</v>
      </c>
      <c r="D37" s="3">
        <v>77.595951365848236</v>
      </c>
      <c r="E37" s="3">
        <v>76.225375601472464</v>
      </c>
      <c r="F37" s="3">
        <v>75.255320269000421</v>
      </c>
      <c r="G37" s="3">
        <v>81.196353713389158</v>
      </c>
      <c r="H37" s="3">
        <v>73.439224708282524</v>
      </c>
    </row>
    <row r="39" spans="1:8" x14ac:dyDescent="0.2">
      <c r="A39" s="3" t="s">
        <v>5481</v>
      </c>
    </row>
    <row r="40" spans="1:8" s="2" customFormat="1" x14ac:dyDescent="0.2">
      <c r="A40" s="509" t="s">
        <v>5502</v>
      </c>
      <c r="B40" s="509" t="s">
        <v>5713</v>
      </c>
      <c r="C40" s="509" t="s">
        <v>5496</v>
      </c>
      <c r="D40" s="509" t="s">
        <v>5497</v>
      </c>
      <c r="E40" s="509" t="s">
        <v>5498</v>
      </c>
      <c r="F40" s="509" t="s">
        <v>5499</v>
      </c>
      <c r="G40" s="509" t="s">
        <v>5500</v>
      </c>
      <c r="H40" s="509" t="s">
        <v>5503</v>
      </c>
    </row>
    <row r="41" spans="1:8" x14ac:dyDescent="0.2">
      <c r="A41" s="3" t="s">
        <v>5482</v>
      </c>
      <c r="B41" s="3">
        <v>34.99399732463079</v>
      </c>
      <c r="C41" s="3">
        <v>22.147611589924839</v>
      </c>
      <c r="D41" s="3">
        <v>20.0731816372064</v>
      </c>
      <c r="E41" s="3">
        <v>20.26345700839391</v>
      </c>
      <c r="F41" s="3">
        <v>17.255642311980381</v>
      </c>
      <c r="G41" s="3">
        <v>16.093037821194439</v>
      </c>
      <c r="H41" s="3">
        <v>32.173311394321587</v>
      </c>
    </row>
    <row r="42" spans="1:8" x14ac:dyDescent="0.2">
      <c r="A42" s="3" t="s">
        <v>5483</v>
      </c>
      <c r="B42" s="3">
        <v>40.856219233976788</v>
      </c>
      <c r="C42" s="3">
        <v>19.506004362576629</v>
      </c>
      <c r="D42" s="3">
        <v>11.931697795756961</v>
      </c>
      <c r="E42" s="3">
        <v>18.20236641088912</v>
      </c>
      <c r="F42" s="3">
        <v>16.89022243145547</v>
      </c>
      <c r="G42" s="3">
        <v>10.63118315898341</v>
      </c>
      <c r="H42" s="3">
        <v>15.873346424440591</v>
      </c>
    </row>
    <row r="43" spans="1:8" x14ac:dyDescent="0.2">
      <c r="A43" s="3" t="s">
        <v>5484</v>
      </c>
      <c r="B43" s="3">
        <v>39.709148721334721</v>
      </c>
      <c r="C43" s="3">
        <v>22.803675288113791</v>
      </c>
      <c r="D43" s="3">
        <v>19.41074885262843</v>
      </c>
      <c r="E43" s="3">
        <v>17.365314876557139</v>
      </c>
      <c r="F43" s="3">
        <v>22.52457856087533</v>
      </c>
      <c r="G43" s="3">
        <v>20.94889421798333</v>
      </c>
      <c r="H43" s="3">
        <v>19.561026644797291</v>
      </c>
    </row>
    <row r="44" spans="1:8" x14ac:dyDescent="0.2">
      <c r="A44" s="3" t="s">
        <v>5485</v>
      </c>
      <c r="B44" s="3">
        <v>36.119858373376807</v>
      </c>
      <c r="C44" s="3">
        <v>22.888268787024511</v>
      </c>
      <c r="D44" s="3">
        <v>18.21381660569817</v>
      </c>
      <c r="E44" s="3">
        <v>16.466686559810132</v>
      </c>
      <c r="F44" s="3">
        <v>21.839451165237971</v>
      </c>
      <c r="G44" s="3">
        <v>15.030419722363339</v>
      </c>
      <c r="H44" s="3">
        <v>20.60593266104264</v>
      </c>
    </row>
    <row r="45" spans="1:8" x14ac:dyDescent="0.2">
      <c r="A45" s="3" t="s">
        <v>5486</v>
      </c>
      <c r="B45" s="3">
        <v>31.593475467173029</v>
      </c>
      <c r="C45" s="3">
        <v>19.274761762863879</v>
      </c>
      <c r="D45" s="3">
        <v>15.52894117756238</v>
      </c>
      <c r="E45" s="3">
        <v>17.09823805625641</v>
      </c>
      <c r="F45" s="3">
        <v>18.716784283440379</v>
      </c>
      <c r="G45" s="3">
        <v>10.32053645720451</v>
      </c>
      <c r="H45" s="3">
        <v>18.626741871085908</v>
      </c>
    </row>
    <row r="46" spans="1:8" x14ac:dyDescent="0.2">
      <c r="A46" s="3" t="s">
        <v>5487</v>
      </c>
      <c r="B46" s="3">
        <v>47.001014020642273</v>
      </c>
      <c r="C46" s="3">
        <v>27.819626542387901</v>
      </c>
      <c r="D46" s="3">
        <v>25.490943018637211</v>
      </c>
      <c r="E46" s="3">
        <v>23.057899205618071</v>
      </c>
      <c r="F46" s="3">
        <v>23.10717140847709</v>
      </c>
      <c r="G46" s="3">
        <v>14.722536841464651</v>
      </c>
      <c r="H46" s="3">
        <v>22.268148402085622</v>
      </c>
    </row>
    <row r="47" spans="1:8" x14ac:dyDescent="0.2">
      <c r="A47" s="3" t="s">
        <v>5488</v>
      </c>
      <c r="B47" s="3">
        <v>49.484088831604602</v>
      </c>
      <c r="C47" s="3">
        <v>43.592999691749007</v>
      </c>
      <c r="D47" s="3">
        <v>34.988941825348867</v>
      </c>
      <c r="E47" s="3">
        <v>39.354523983024528</v>
      </c>
      <c r="F47" s="3">
        <v>40.110934413946538</v>
      </c>
      <c r="G47" s="3">
        <v>44.525921140314082</v>
      </c>
      <c r="H47" s="3">
        <v>39.485830624000528</v>
      </c>
    </row>
    <row r="48" spans="1:8" x14ac:dyDescent="0.2">
      <c r="A48" s="3" t="s">
        <v>5489</v>
      </c>
      <c r="B48" s="3">
        <v>11.69408905408465</v>
      </c>
      <c r="C48" s="3">
        <v>6.1421945758182508</v>
      </c>
      <c r="D48" s="3">
        <v>2.7455507367170018</v>
      </c>
      <c r="E48" s="3">
        <v>6.3499806607452296</v>
      </c>
      <c r="F48" s="3">
        <v>0.68708939843990813</v>
      </c>
      <c r="G48" s="3">
        <v>3.1365533954127658</v>
      </c>
      <c r="H48" s="3">
        <v>8.5223697331749833</v>
      </c>
    </row>
    <row r="49" spans="1:8" x14ac:dyDescent="0.2">
      <c r="A49" s="3" t="s">
        <v>5490</v>
      </c>
      <c r="B49" s="3">
        <v>38.814024142966048</v>
      </c>
      <c r="C49" s="3">
        <v>23.329788025237772</v>
      </c>
      <c r="D49" s="3">
        <v>14.61269740487619</v>
      </c>
      <c r="E49" s="3">
        <v>19.505550211859958</v>
      </c>
      <c r="F49" s="3">
        <v>21.081329859435758</v>
      </c>
      <c r="G49" s="3">
        <v>12.79722102520962</v>
      </c>
      <c r="H49" s="3">
        <v>20.17402037245779</v>
      </c>
    </row>
    <row r="50" spans="1:8" x14ac:dyDescent="0.2">
      <c r="A50" s="3" t="s">
        <v>5491</v>
      </c>
      <c r="B50" s="3">
        <v>28.53690174635047</v>
      </c>
      <c r="C50" s="3">
        <v>21.408065860958441</v>
      </c>
      <c r="D50" s="3">
        <v>17.285911970955461</v>
      </c>
      <c r="E50" s="3">
        <v>19.999810856356952</v>
      </c>
      <c r="F50" s="3">
        <v>21.140378479340381</v>
      </c>
      <c r="G50" s="3">
        <v>17.813711337723319</v>
      </c>
      <c r="H50" s="3">
        <v>19.78069235140595</v>
      </c>
    </row>
    <row r="51" spans="1:8" x14ac:dyDescent="0.2">
      <c r="A51" s="3" t="s">
        <v>5492</v>
      </c>
      <c r="B51" s="3">
        <v>46.214980957989717</v>
      </c>
      <c r="C51" s="3">
        <v>26.849013360053011</v>
      </c>
      <c r="D51" s="3">
        <v>25.221469053131209</v>
      </c>
      <c r="E51" s="3">
        <v>19.850488942168251</v>
      </c>
      <c r="F51" s="3">
        <v>26.356921408184469</v>
      </c>
      <c r="G51" s="3">
        <v>19.384929791515709</v>
      </c>
      <c r="H51" s="3">
        <v>28.535034757509031</v>
      </c>
    </row>
    <row r="52" spans="1:8" x14ac:dyDescent="0.2">
      <c r="A52" s="3" t="s">
        <v>5493</v>
      </c>
      <c r="B52" s="3">
        <v>46.385804613240033</v>
      </c>
      <c r="C52" s="3">
        <v>27.310155603820679</v>
      </c>
      <c r="D52" s="3">
        <v>23.258240554514799</v>
      </c>
      <c r="E52" s="3">
        <v>22.389717319612028</v>
      </c>
      <c r="F52" s="3">
        <v>22.44526803498951</v>
      </c>
      <c r="G52" s="3">
        <v>14.83329417063181</v>
      </c>
      <c r="H52" s="3">
        <v>32.091649960652418</v>
      </c>
    </row>
    <row r="53" spans="1:8" x14ac:dyDescent="0.2">
      <c r="A53" s="3" t="s">
        <v>5494</v>
      </c>
      <c r="B53" s="3">
        <v>32.909887094140828</v>
      </c>
      <c r="C53" s="3">
        <v>20.791913935180549</v>
      </c>
      <c r="D53" s="3">
        <v>16.414051425763621</v>
      </c>
      <c r="E53" s="3">
        <v>15.457021667460671</v>
      </c>
      <c r="F53" s="3">
        <v>17.441410169969959</v>
      </c>
      <c r="G53" s="3">
        <v>9.8023249608636362</v>
      </c>
      <c r="H53" s="3">
        <v>12.147802529218289</v>
      </c>
    </row>
    <row r="54" spans="1:8" x14ac:dyDescent="0.2">
      <c r="A54" s="3" t="s">
        <v>5495</v>
      </c>
      <c r="B54" s="3">
        <v>40.376351625408759</v>
      </c>
      <c r="C54" s="3">
        <v>18.991222904493132</v>
      </c>
      <c r="D54" s="3">
        <v>16.90867232877758</v>
      </c>
      <c r="E54" s="3">
        <v>19.636741923742338</v>
      </c>
      <c r="F54" s="3">
        <v>22.926642449983952</v>
      </c>
      <c r="G54" s="3">
        <v>15.692477847993599</v>
      </c>
      <c r="H54" s="3">
        <v>19.51346596634129</v>
      </c>
    </row>
    <row r="55" spans="1:8" x14ac:dyDescent="0.2">
      <c r="A55" s="3" t="s">
        <v>5501</v>
      </c>
      <c r="B55" s="3">
        <v>26.315287835385369</v>
      </c>
      <c r="C55" s="3">
        <v>20.851359803664842</v>
      </c>
      <c r="D55" s="3">
        <v>13.7353086560496</v>
      </c>
      <c r="E55" s="3">
        <v>16.383724122593328</v>
      </c>
      <c r="F55" s="3">
        <v>14.49109871691528</v>
      </c>
      <c r="G55" s="3">
        <v>22.24027060822452</v>
      </c>
      <c r="H55" s="3">
        <v>19.748287929577181</v>
      </c>
    </row>
    <row r="56" spans="1:8" x14ac:dyDescent="0.2">
      <c r="A56" s="3" t="s">
        <v>5835</v>
      </c>
      <c r="B56" s="3">
        <v>39.224236591459999</v>
      </c>
      <c r="C56" s="3">
        <v>23.43429723038016</v>
      </c>
      <c r="D56" s="3">
        <v>18.552109377667939</v>
      </c>
      <c r="E56" s="3">
        <v>19.4597495680671</v>
      </c>
      <c r="F56" s="3">
        <v>20.958126134469271</v>
      </c>
      <c r="G56" s="3">
        <v>15.20983981869162</v>
      </c>
      <c r="H56" s="3">
        <v>22.71711842979035</v>
      </c>
    </row>
    <row r="58" spans="1:8" x14ac:dyDescent="0.2">
      <c r="A58" s="3" t="s">
        <v>5504</v>
      </c>
    </row>
    <row r="59" spans="1:8" s="2" customFormat="1" x14ac:dyDescent="0.2">
      <c r="A59" s="509" t="s">
        <v>5525</v>
      </c>
      <c r="B59" s="509" t="s">
        <v>5714</v>
      </c>
      <c r="C59" s="509" t="s">
        <v>5519</v>
      </c>
      <c r="D59" s="509" t="s">
        <v>5520</v>
      </c>
      <c r="E59" s="509" t="s">
        <v>5521</v>
      </c>
      <c r="F59" s="509" t="s">
        <v>5522</v>
      </c>
      <c r="G59" s="509" t="s">
        <v>5523</v>
      </c>
      <c r="H59" s="509" t="s">
        <v>5526</v>
      </c>
    </row>
    <row r="60" spans="1:8" x14ac:dyDescent="0.2">
      <c r="A60" s="3" t="s">
        <v>5505</v>
      </c>
      <c r="B60" s="3">
        <v>12.776348982329189</v>
      </c>
      <c r="C60" s="3">
        <v>6.6411996351673759</v>
      </c>
      <c r="D60" s="3">
        <v>4.5963754244549078</v>
      </c>
      <c r="E60" s="3">
        <v>4.929075469321746</v>
      </c>
      <c r="F60" s="3">
        <v>4.4127137962325156</v>
      </c>
      <c r="G60" s="3">
        <v>4.831381832509507</v>
      </c>
      <c r="H60" s="3">
        <v>5.702201218652891</v>
      </c>
    </row>
    <row r="61" spans="1:8" x14ac:dyDescent="0.2">
      <c r="A61" s="3" t="s">
        <v>5506</v>
      </c>
      <c r="B61" s="3">
        <v>10.878299623722359</v>
      </c>
      <c r="C61" s="3">
        <v>5.8694965590571613</v>
      </c>
      <c r="D61" s="3">
        <v>3.5339043339729672</v>
      </c>
      <c r="E61" s="3">
        <v>3.2676275431273472</v>
      </c>
      <c r="F61" s="3">
        <v>3.566307505489414</v>
      </c>
      <c r="G61" s="3">
        <v>1.552574621208086</v>
      </c>
      <c r="H61" s="3">
        <v>1.758746731661065</v>
      </c>
    </row>
    <row r="62" spans="1:8" x14ac:dyDescent="0.2">
      <c r="A62" s="3" t="s">
        <v>5507</v>
      </c>
      <c r="B62" s="3">
        <v>7.8104907482977071</v>
      </c>
      <c r="C62" s="3">
        <v>5.0199199790730393</v>
      </c>
      <c r="D62" s="3">
        <v>1.2053652518701949</v>
      </c>
      <c r="E62" s="3">
        <v>2.77697184155604</v>
      </c>
      <c r="F62" s="3">
        <v>2.66103828257144</v>
      </c>
      <c r="G62" s="3">
        <v>2.140341837419367</v>
      </c>
      <c r="H62" s="3">
        <v>2.2715347890423909</v>
      </c>
    </row>
    <row r="63" spans="1:8" x14ac:dyDescent="0.2">
      <c r="A63" s="3" t="s">
        <v>5508</v>
      </c>
      <c r="B63" s="3">
        <v>6.3279626494536334</v>
      </c>
      <c r="C63" s="3">
        <v>4.9042799213433632</v>
      </c>
      <c r="D63" s="3">
        <v>3.8707777378625279</v>
      </c>
      <c r="E63" s="3">
        <v>4.4904159848042449</v>
      </c>
      <c r="F63" s="3">
        <v>3.871391056575594</v>
      </c>
      <c r="G63" s="3">
        <v>4.170850275482608</v>
      </c>
      <c r="H63" s="3">
        <v>1.0412414520213999</v>
      </c>
    </row>
    <row r="64" spans="1:8" x14ac:dyDescent="0.2">
      <c r="A64" s="3" t="s">
        <v>5509</v>
      </c>
      <c r="B64" s="3">
        <v>7.1627678881129464</v>
      </c>
      <c r="C64" s="3">
        <v>3.9396594161128329</v>
      </c>
      <c r="D64" s="3">
        <v>5.8427825057073726</v>
      </c>
      <c r="E64" s="3">
        <v>2.3470155821194911</v>
      </c>
      <c r="F64" s="3">
        <v>3.4063613429002348</v>
      </c>
      <c r="G64" s="3">
        <v>5.5809192808112291</v>
      </c>
      <c r="H64" s="3">
        <v>5.2280024900312441</v>
      </c>
    </row>
    <row r="65" spans="1:8" x14ac:dyDescent="0.2">
      <c r="A65" s="3" t="s">
        <v>5510</v>
      </c>
      <c r="B65" s="3">
        <v>9.4788423486007325</v>
      </c>
      <c r="C65" s="3">
        <v>4.642215245106704</v>
      </c>
      <c r="D65" s="3">
        <v>2.0137355988800998</v>
      </c>
      <c r="E65" s="3">
        <v>3.1426537610810472</v>
      </c>
      <c r="F65" s="3">
        <v>2.7361764358366321</v>
      </c>
      <c r="G65" s="3">
        <v>0.88178861131724673</v>
      </c>
      <c r="H65" s="3">
        <v>1.717056898624441</v>
      </c>
    </row>
    <row r="66" spans="1:8" x14ac:dyDescent="0.2">
      <c r="A66" s="3" t="s">
        <v>5511</v>
      </c>
      <c r="B66" s="3">
        <v>33.836947602482823</v>
      </c>
      <c r="C66" s="3">
        <v>29.188543448026849</v>
      </c>
      <c r="D66" s="3">
        <v>27.08300011895923</v>
      </c>
      <c r="E66" s="3">
        <v>17.528865030700121</v>
      </c>
      <c r="F66" s="3">
        <v>13.03241399536067</v>
      </c>
      <c r="G66" s="3">
        <v>17.89221311752193</v>
      </c>
      <c r="H66" s="3">
        <v>29.477155752529619</v>
      </c>
    </row>
    <row r="67" spans="1:8" x14ac:dyDescent="0.2">
      <c r="A67" s="3" t="s">
        <v>5512</v>
      </c>
      <c r="B67" s="3">
        <v>2.7724027707823979</v>
      </c>
      <c r="C67" s="3">
        <v>3.8129931932054921</v>
      </c>
      <c r="D67" s="3">
        <v>1.530919731167476</v>
      </c>
      <c r="E67" s="3">
        <v>0.57736100878366481</v>
      </c>
      <c r="F67" s="3">
        <v>2.7053570312189539</v>
      </c>
      <c r="G67" s="3">
        <v>0.9195649074500698</v>
      </c>
      <c r="H67" s="3">
        <v>3.9061398723776279</v>
      </c>
    </row>
    <row r="68" spans="1:8" x14ac:dyDescent="0.2">
      <c r="A68" s="3" t="s">
        <v>5513</v>
      </c>
      <c r="B68" s="3">
        <v>13.55345402939829</v>
      </c>
      <c r="C68" s="3">
        <v>4.9495196963104942</v>
      </c>
      <c r="D68" s="3">
        <v>1.882325825891543</v>
      </c>
      <c r="E68" s="3">
        <v>4.2771871991343362</v>
      </c>
      <c r="F68" s="3">
        <v>2.9318111337411921</v>
      </c>
      <c r="G68" s="3">
        <v>2.6414031277609031</v>
      </c>
      <c r="H68" s="3">
        <v>5.2300604160207786</v>
      </c>
    </row>
    <row r="69" spans="1:8" x14ac:dyDescent="0.2">
      <c r="A69" s="3" t="s">
        <v>5514</v>
      </c>
      <c r="B69" s="3">
        <v>9.5841961539704563</v>
      </c>
      <c r="C69" s="3">
        <v>4.6886491489929636</v>
      </c>
      <c r="D69" s="3">
        <v>3.485845402801905</v>
      </c>
      <c r="E69" s="3">
        <v>4.9922512477945107</v>
      </c>
      <c r="F69" s="3">
        <v>2.6928467561568432</v>
      </c>
      <c r="G69" s="3">
        <v>1.5112817479756031</v>
      </c>
      <c r="H69" s="3">
        <v>5.0767630661350909</v>
      </c>
    </row>
    <row r="70" spans="1:8" x14ac:dyDescent="0.2">
      <c r="A70" s="3" t="s">
        <v>5515</v>
      </c>
      <c r="B70" s="3">
        <v>13.62596022990731</v>
      </c>
      <c r="C70" s="3">
        <v>5.1027936879816744</v>
      </c>
      <c r="D70" s="3">
        <v>3.1697715289726478</v>
      </c>
      <c r="E70" s="3">
        <v>2.4690289328048651</v>
      </c>
      <c r="F70" s="3">
        <v>2.7476497149432961</v>
      </c>
      <c r="G70" s="3">
        <v>4.2093480908806518</v>
      </c>
      <c r="H70" s="3">
        <v>1.3481057829698559</v>
      </c>
    </row>
    <row r="71" spans="1:8" x14ac:dyDescent="0.2">
      <c r="A71" s="3" t="s">
        <v>5516</v>
      </c>
      <c r="B71" s="3">
        <v>25.227109037807381</v>
      </c>
      <c r="C71" s="3">
        <v>14.96661438929892</v>
      </c>
      <c r="D71" s="3">
        <v>5.2117050737415456</v>
      </c>
      <c r="E71" s="3">
        <v>7.2981670774431464</v>
      </c>
      <c r="F71" s="3">
        <v>6.6792734592577192</v>
      </c>
      <c r="G71" s="3">
        <v>6.2917345888484926</v>
      </c>
      <c r="H71" s="3">
        <v>4.2305871773768242</v>
      </c>
    </row>
    <row r="72" spans="1:8" x14ac:dyDescent="0.2">
      <c r="A72" s="3" t="s">
        <v>5517</v>
      </c>
      <c r="B72" s="3">
        <v>11.60638674319976</v>
      </c>
      <c r="C72" s="3">
        <v>5.5979751539222731</v>
      </c>
      <c r="D72" s="3">
        <v>3.8520994143331229</v>
      </c>
      <c r="E72" s="3">
        <v>5.1006913725525207</v>
      </c>
      <c r="F72" s="3">
        <v>3.0615280536838592</v>
      </c>
      <c r="G72" s="3">
        <v>4.7605076465456806</v>
      </c>
      <c r="H72" s="3">
        <v>5.4960963880702964</v>
      </c>
    </row>
    <row r="73" spans="1:8" x14ac:dyDescent="0.2">
      <c r="A73" s="3" t="s">
        <v>5518</v>
      </c>
      <c r="B73" s="3">
        <v>6.0594175078508012</v>
      </c>
      <c r="C73" s="3">
        <v>4.2383785542409704</v>
      </c>
      <c r="D73" s="3">
        <v>3.614923412325052</v>
      </c>
      <c r="E73" s="3">
        <v>3.206465953284189</v>
      </c>
      <c r="F73" s="3">
        <v>3.775482767850066</v>
      </c>
      <c r="G73" s="3">
        <v>2.4352946187207491</v>
      </c>
      <c r="H73" s="3">
        <v>1.906367599496938</v>
      </c>
    </row>
    <row r="74" spans="1:8" x14ac:dyDescent="0.2">
      <c r="A74" s="3" t="s">
        <v>5524</v>
      </c>
      <c r="B74" s="3">
        <v>8.0225634793307066</v>
      </c>
      <c r="C74" s="3">
        <v>5.5115579353678363</v>
      </c>
      <c r="D74" s="3">
        <v>4.8954877526883323</v>
      </c>
      <c r="E74" s="3">
        <v>4.2823936664008251</v>
      </c>
      <c r="F74" s="3">
        <v>4.9862477653909014</v>
      </c>
      <c r="G74" s="3">
        <v>6.4202927940111199</v>
      </c>
      <c r="H74" s="3">
        <v>3.7765888904794909</v>
      </c>
    </row>
    <row r="75" spans="1:8" x14ac:dyDescent="0.2">
      <c r="A75" s="3" t="s">
        <v>5835</v>
      </c>
      <c r="B75" s="3">
        <v>13.19549844920123</v>
      </c>
      <c r="C75" s="3">
        <v>6.7838494952212551</v>
      </c>
      <c r="D75" s="3">
        <v>3.851939256483818</v>
      </c>
      <c r="E75" s="3">
        <v>4.3148748304604316</v>
      </c>
      <c r="F75" s="3">
        <v>3.7865535965303132</v>
      </c>
      <c r="G75" s="3">
        <v>3.5938064679192259</v>
      </c>
      <c r="H75" s="3">
        <v>3.8436568619271361</v>
      </c>
    </row>
    <row r="77" spans="1:8" x14ac:dyDescent="0.2">
      <c r="A77" s="3" t="s">
        <v>5527</v>
      </c>
    </row>
    <row r="78" spans="1:8" s="2" customFormat="1" x14ac:dyDescent="0.2">
      <c r="A78" s="509" t="s">
        <v>5548</v>
      </c>
      <c r="B78" s="509" t="s">
        <v>5715</v>
      </c>
      <c r="C78" s="509" t="s">
        <v>5542</v>
      </c>
      <c r="D78" s="509" t="s">
        <v>5543</v>
      </c>
      <c r="E78" s="509" t="s">
        <v>5544</v>
      </c>
      <c r="F78" s="509" t="s">
        <v>5545</v>
      </c>
      <c r="G78" s="509" t="s">
        <v>5546</v>
      </c>
      <c r="H78" s="509" t="s">
        <v>5549</v>
      </c>
    </row>
    <row r="79" spans="1:8" x14ac:dyDescent="0.2">
      <c r="A79" s="3" t="s">
        <v>5528</v>
      </c>
      <c r="B79" s="3">
        <v>81.226804079125202</v>
      </c>
      <c r="C79" s="3">
        <v>81.764135803421993</v>
      </c>
      <c r="D79" s="3">
        <v>81.42967387847952</v>
      </c>
      <c r="E79" s="3">
        <v>81.081412828835823</v>
      </c>
      <c r="F79" s="3">
        <v>88.631979318006486</v>
      </c>
      <c r="G79" s="3">
        <v>83.60570943669957</v>
      </c>
      <c r="H79" s="3">
        <v>88.601958924560108</v>
      </c>
    </row>
    <row r="80" spans="1:8" x14ac:dyDescent="0.2">
      <c r="A80" s="3" t="s">
        <v>5529</v>
      </c>
      <c r="B80" s="3">
        <v>53.135308975793947</v>
      </c>
      <c r="C80" s="3">
        <v>49.858195025264223</v>
      </c>
      <c r="D80" s="3">
        <v>50.326890851593483</v>
      </c>
      <c r="E80" s="3">
        <v>52.062127887461457</v>
      </c>
      <c r="F80" s="3">
        <v>48.901110607163822</v>
      </c>
      <c r="G80" s="3">
        <v>53.482290113664178</v>
      </c>
      <c r="H80" s="3">
        <v>44.251597860916768</v>
      </c>
    </row>
    <row r="81" spans="1:8" x14ac:dyDescent="0.2">
      <c r="A81" s="3" t="s">
        <v>5530</v>
      </c>
      <c r="B81" s="3">
        <v>86.474905385117538</v>
      </c>
      <c r="C81" s="3">
        <v>81.40625350058086</v>
      </c>
      <c r="D81" s="3">
        <v>77.055329289446988</v>
      </c>
      <c r="E81" s="3">
        <v>79.339728895291543</v>
      </c>
      <c r="F81" s="3">
        <v>80.190170918045467</v>
      </c>
      <c r="G81" s="3">
        <v>82.669098766694788</v>
      </c>
      <c r="H81" s="3">
        <v>78.577894028284817</v>
      </c>
    </row>
    <row r="82" spans="1:8" x14ac:dyDescent="0.2">
      <c r="A82" s="3" t="s">
        <v>5531</v>
      </c>
      <c r="B82" s="3">
        <v>95.403799029753742</v>
      </c>
      <c r="C82" s="3">
        <v>94.635250778975632</v>
      </c>
      <c r="D82" s="3">
        <v>96.607804961350126</v>
      </c>
      <c r="E82" s="3">
        <v>96.52645901752517</v>
      </c>
      <c r="F82" s="3">
        <v>96.131812870347019</v>
      </c>
      <c r="G82" s="3">
        <v>97.698888226642083</v>
      </c>
      <c r="H82" s="3">
        <v>98.733494321939716</v>
      </c>
    </row>
    <row r="83" spans="1:8" x14ac:dyDescent="0.2">
      <c r="A83" s="3" t="s">
        <v>5532</v>
      </c>
      <c r="B83" s="3">
        <v>79.379553309181588</v>
      </c>
      <c r="C83" s="3">
        <v>72.888880175270131</v>
      </c>
      <c r="D83" s="3">
        <v>75.627315359290293</v>
      </c>
      <c r="E83" s="3">
        <v>74.246064290856737</v>
      </c>
      <c r="F83" s="3">
        <v>73.228719102716141</v>
      </c>
      <c r="G83" s="3">
        <v>79.360350891592518</v>
      </c>
      <c r="H83" s="3">
        <v>78.218904858770159</v>
      </c>
    </row>
    <row r="84" spans="1:8" x14ac:dyDescent="0.2">
      <c r="A84" s="3" t="s">
        <v>5533</v>
      </c>
      <c r="B84" s="3">
        <v>93.334587090932573</v>
      </c>
      <c r="C84" s="3">
        <v>88.952147581603754</v>
      </c>
      <c r="D84" s="3">
        <v>81.713058482879774</v>
      </c>
      <c r="E84" s="3">
        <v>86.526046508981651</v>
      </c>
      <c r="F84" s="3">
        <v>80.15317463715202</v>
      </c>
      <c r="G84" s="3">
        <v>92.127960163340859</v>
      </c>
      <c r="H84" s="3">
        <v>80.242596606480276</v>
      </c>
    </row>
    <row r="85" spans="1:8" x14ac:dyDescent="0.2">
      <c r="A85" s="3" t="s">
        <v>5534</v>
      </c>
      <c r="B85" s="3">
        <v>99.008575144320986</v>
      </c>
      <c r="C85" s="3">
        <v>99.530130178720583</v>
      </c>
      <c r="D85" s="3">
        <v>99.025539120502089</v>
      </c>
      <c r="E85" s="3">
        <v>100</v>
      </c>
      <c r="F85" s="3">
        <v>100</v>
      </c>
      <c r="G85" s="3">
        <v>100</v>
      </c>
      <c r="H85" s="3">
        <v>100</v>
      </c>
    </row>
    <row r="86" spans="1:8" x14ac:dyDescent="0.2">
      <c r="A86" s="3" t="s">
        <v>5535</v>
      </c>
      <c r="B86" s="3">
        <v>88.96986422320137</v>
      </c>
      <c r="C86" s="3">
        <v>90.546157945140706</v>
      </c>
      <c r="D86" s="3">
        <v>91.111537995327311</v>
      </c>
      <c r="E86" s="3">
        <v>91.386861123056136</v>
      </c>
      <c r="F86" s="3">
        <v>90.898779158128121</v>
      </c>
      <c r="G86" s="3">
        <v>90.072710058228992</v>
      </c>
      <c r="H86" s="3">
        <v>100</v>
      </c>
    </row>
    <row r="87" spans="1:8" x14ac:dyDescent="0.2">
      <c r="A87" s="3" t="s">
        <v>5536</v>
      </c>
      <c r="B87" s="3">
        <v>63.800785467775789</v>
      </c>
      <c r="C87" s="3">
        <v>62.966931659987033</v>
      </c>
      <c r="D87" s="3">
        <v>63.564470208601477</v>
      </c>
      <c r="E87" s="3">
        <v>62.344542248237723</v>
      </c>
      <c r="F87" s="3">
        <v>63.443855559002706</v>
      </c>
      <c r="G87" s="3">
        <v>58.946331409985333</v>
      </c>
      <c r="H87" s="3">
        <v>42.174758038995037</v>
      </c>
    </row>
    <row r="88" spans="1:8" x14ac:dyDescent="0.2">
      <c r="A88" s="3" t="s">
        <v>5537</v>
      </c>
      <c r="B88" s="3">
        <v>86.732819168421415</v>
      </c>
      <c r="C88" s="3">
        <v>84.318837537475034</v>
      </c>
      <c r="D88" s="3">
        <v>85.022921883114762</v>
      </c>
      <c r="E88" s="3">
        <v>83.032860123769694</v>
      </c>
      <c r="F88" s="3">
        <v>82.431047589859304</v>
      </c>
      <c r="G88" s="3">
        <v>78.376930091264114</v>
      </c>
      <c r="H88" s="3">
        <v>76.847192838152822</v>
      </c>
    </row>
    <row r="89" spans="1:8" x14ac:dyDescent="0.2">
      <c r="A89" s="3" t="s">
        <v>5538</v>
      </c>
      <c r="B89" s="3">
        <v>72.444248036829279</v>
      </c>
      <c r="C89" s="3">
        <v>70.157277670718585</v>
      </c>
      <c r="D89" s="3">
        <v>68.77038901158646</v>
      </c>
      <c r="E89" s="3">
        <v>66.904248002394141</v>
      </c>
      <c r="F89" s="3">
        <v>66.675828214891737</v>
      </c>
      <c r="G89" s="3">
        <v>68.944560421995718</v>
      </c>
      <c r="H89" s="3">
        <v>62.487989551855733</v>
      </c>
    </row>
    <row r="90" spans="1:8" x14ac:dyDescent="0.2">
      <c r="A90" s="3" t="s">
        <v>5539</v>
      </c>
      <c r="B90" s="3">
        <v>75.097083743312297</v>
      </c>
      <c r="C90" s="3">
        <v>65.240293888438075</v>
      </c>
      <c r="D90" s="3">
        <v>47.656866775467492</v>
      </c>
      <c r="E90" s="3">
        <v>53.016707167980158</v>
      </c>
      <c r="F90" s="3">
        <v>53.622214038196852</v>
      </c>
      <c r="G90" s="3">
        <v>53.747904609892608</v>
      </c>
      <c r="H90" s="3">
        <v>49.274082251742371</v>
      </c>
    </row>
    <row r="91" spans="1:8" x14ac:dyDescent="0.2">
      <c r="A91" s="3" t="s">
        <v>5540</v>
      </c>
      <c r="B91" s="3">
        <v>94.846055228851071</v>
      </c>
      <c r="C91" s="3">
        <v>96.686219735504494</v>
      </c>
      <c r="D91" s="3">
        <v>95.879883807072559</v>
      </c>
      <c r="E91" s="3">
        <v>95.849739543861375</v>
      </c>
      <c r="F91" s="3">
        <v>96.705147996417068</v>
      </c>
      <c r="G91" s="3">
        <v>96.811656175716493</v>
      </c>
      <c r="H91" s="3">
        <v>95.890517096596824</v>
      </c>
    </row>
    <row r="92" spans="1:8" x14ac:dyDescent="0.2">
      <c r="A92" s="3" t="s">
        <v>5541</v>
      </c>
      <c r="B92" s="3">
        <v>66.203898416937236</v>
      </c>
      <c r="C92" s="3">
        <v>59.388737544557522</v>
      </c>
      <c r="D92" s="3">
        <v>55.346524996277552</v>
      </c>
      <c r="E92" s="3">
        <v>56.744230929521017</v>
      </c>
      <c r="F92" s="3">
        <v>59.004064420109209</v>
      </c>
      <c r="G92" s="3">
        <v>59.838480472307097</v>
      </c>
      <c r="H92" s="3">
        <v>53.42541561423873</v>
      </c>
    </row>
    <row r="93" spans="1:8" x14ac:dyDescent="0.2">
      <c r="A93" s="3" t="s">
        <v>5547</v>
      </c>
      <c r="B93" s="3">
        <v>85.455867785683623</v>
      </c>
      <c r="C93" s="3">
        <v>85.688005375405311</v>
      </c>
      <c r="D93" s="3">
        <v>87.357761444167068</v>
      </c>
      <c r="E93" s="3">
        <v>87.948410597662274</v>
      </c>
      <c r="F93" s="3">
        <v>85.036258544420662</v>
      </c>
      <c r="G93" s="3">
        <v>90.89700062386126</v>
      </c>
      <c r="H93" s="3">
        <v>85.031333294434447</v>
      </c>
    </row>
    <row r="94" spans="1:8" x14ac:dyDescent="0.2">
      <c r="A94" s="3" t="s">
        <v>5835</v>
      </c>
      <c r="B94" s="3">
        <v>80.498502381546061</v>
      </c>
      <c r="C94" s="3">
        <v>75.886921520291693</v>
      </c>
      <c r="D94" s="3">
        <v>73.343804177122962</v>
      </c>
      <c r="E94" s="3">
        <v>73.655571812455051</v>
      </c>
      <c r="F94" s="3">
        <v>72.014242736172889</v>
      </c>
      <c r="G94" s="3">
        <v>72.202010588399446</v>
      </c>
      <c r="H94" s="3">
        <v>72.785311161150815</v>
      </c>
    </row>
    <row r="96" spans="1:8" x14ac:dyDescent="0.2">
      <c r="A96" s="3" t="s">
        <v>5550</v>
      </c>
    </row>
    <row r="97" spans="1:8" s="2" customFormat="1" x14ac:dyDescent="0.2">
      <c r="A97" s="509" t="s">
        <v>5571</v>
      </c>
      <c r="B97" s="509" t="s">
        <v>5716</v>
      </c>
      <c r="C97" s="509" t="s">
        <v>5565</v>
      </c>
      <c r="D97" s="509" t="s">
        <v>5566</v>
      </c>
      <c r="E97" s="509" t="s">
        <v>5567</v>
      </c>
      <c r="F97" s="509" t="s">
        <v>5568</v>
      </c>
      <c r="G97" s="509" t="s">
        <v>5569</v>
      </c>
      <c r="H97" s="509" t="s">
        <v>5572</v>
      </c>
    </row>
    <row r="98" spans="1:8" x14ac:dyDescent="0.2">
      <c r="A98" s="3" t="s">
        <v>5551</v>
      </c>
      <c r="B98" s="3">
        <v>10.513616261598219</v>
      </c>
      <c r="C98" s="3">
        <v>13.231625206653501</v>
      </c>
      <c r="D98" s="3">
        <v>8.5720586485006329</v>
      </c>
      <c r="E98" s="3">
        <v>11.53122100267221</v>
      </c>
      <c r="F98" s="3">
        <v>13.64405799611338</v>
      </c>
      <c r="G98" s="3">
        <v>14.93244708512573</v>
      </c>
      <c r="H98" s="3">
        <v>8.9385194548892937</v>
      </c>
    </row>
    <row r="99" spans="1:8" x14ac:dyDescent="0.2">
      <c r="A99" s="3" t="s">
        <v>5552</v>
      </c>
      <c r="B99" s="3">
        <v>17.813943844766779</v>
      </c>
      <c r="C99" s="3">
        <v>16.297835840511439</v>
      </c>
      <c r="D99" s="3">
        <v>13.38880767848676</v>
      </c>
      <c r="E99" s="3">
        <v>13.858609129494059</v>
      </c>
      <c r="F99" s="3">
        <v>11.829518415056461</v>
      </c>
      <c r="G99" s="3">
        <v>14.5173931297916</v>
      </c>
      <c r="H99" s="3">
        <v>14.82138644865821</v>
      </c>
    </row>
    <row r="100" spans="1:8" x14ac:dyDescent="0.2">
      <c r="A100" s="3" t="s">
        <v>5553</v>
      </c>
      <c r="B100" s="3">
        <v>9.4115572820985474</v>
      </c>
      <c r="C100" s="3">
        <v>8.9206013417836232</v>
      </c>
      <c r="D100" s="3">
        <v>3.3505931939348339</v>
      </c>
      <c r="E100" s="3">
        <v>7.6445962711453248</v>
      </c>
      <c r="F100" s="3">
        <v>4.3269616565967244</v>
      </c>
      <c r="G100" s="3">
        <v>2.6697120117891768</v>
      </c>
      <c r="H100" s="3">
        <v>4.0246043953771693</v>
      </c>
    </row>
    <row r="101" spans="1:8" x14ac:dyDescent="0.2">
      <c r="A101" s="3" t="s">
        <v>5554</v>
      </c>
      <c r="B101" s="3">
        <v>16.295571452098098</v>
      </c>
      <c r="C101" s="3">
        <v>15.167844100293371</v>
      </c>
      <c r="D101" s="3">
        <v>13.67006612472972</v>
      </c>
      <c r="E101" s="3">
        <v>17.375201012107919</v>
      </c>
      <c r="F101" s="3">
        <v>13.74736117932715</v>
      </c>
      <c r="G101" s="3">
        <v>20.710939823924601</v>
      </c>
      <c r="H101" s="3">
        <v>7.8501538126660169</v>
      </c>
    </row>
    <row r="102" spans="1:8" x14ac:dyDescent="0.2">
      <c r="A102" s="3" t="s">
        <v>5555</v>
      </c>
      <c r="B102" s="3">
        <v>17.671896741568592</v>
      </c>
      <c r="C102" s="3">
        <v>18.71150277082063</v>
      </c>
      <c r="D102" s="3">
        <v>15.80895070967483</v>
      </c>
      <c r="E102" s="3">
        <v>18.06887095103318</v>
      </c>
      <c r="F102" s="3">
        <v>12.415506254382469</v>
      </c>
      <c r="G102" s="3">
        <v>10.5033270689201</v>
      </c>
      <c r="H102" s="3">
        <v>18.95374091514087</v>
      </c>
    </row>
    <row r="103" spans="1:8" x14ac:dyDescent="0.2">
      <c r="A103" s="3" t="s">
        <v>5556</v>
      </c>
      <c r="B103" s="3">
        <v>33.226471681622883</v>
      </c>
      <c r="C103" s="3">
        <v>30.979084231143091</v>
      </c>
      <c r="D103" s="3">
        <v>29.903509190325039</v>
      </c>
      <c r="E103" s="3">
        <v>29.591642570046311</v>
      </c>
      <c r="F103" s="3">
        <v>31.710182189449139</v>
      </c>
      <c r="G103" s="3">
        <v>46.684646166040267</v>
      </c>
      <c r="H103" s="3">
        <v>38.324746455834507</v>
      </c>
    </row>
    <row r="104" spans="1:8" x14ac:dyDescent="0.2">
      <c r="A104" s="3" t="s">
        <v>5557</v>
      </c>
      <c r="B104" s="3">
        <v>31.710538347719211</v>
      </c>
      <c r="C104" s="3">
        <v>37.489344047650377</v>
      </c>
      <c r="D104" s="3">
        <v>28.115916617454911</v>
      </c>
      <c r="E104" s="3">
        <v>36.915843660471197</v>
      </c>
      <c r="F104" s="3">
        <v>30.113515022982931</v>
      </c>
      <c r="G104" s="3">
        <v>44.046368711392837</v>
      </c>
      <c r="H104" s="3">
        <v>46.735239850925979</v>
      </c>
    </row>
    <row r="105" spans="1:8" x14ac:dyDescent="0.2">
      <c r="A105" s="3" t="s">
        <v>5558</v>
      </c>
      <c r="B105" s="3">
        <v>1.6985670769275649</v>
      </c>
      <c r="C105" s="3">
        <v>3.391173336350831</v>
      </c>
      <c r="D105" s="3">
        <v>1.997306856676031</v>
      </c>
      <c r="E105" s="3">
        <v>1.8889556594613011</v>
      </c>
      <c r="F105" s="3">
        <v>4.2894254036277362</v>
      </c>
      <c r="G105" s="3">
        <v>1.617209809937495</v>
      </c>
      <c r="H105" s="3">
        <v>5.1440235369152081</v>
      </c>
    </row>
    <row r="106" spans="1:8" x14ac:dyDescent="0.2">
      <c r="A106" s="3" t="s">
        <v>5559</v>
      </c>
      <c r="B106" s="3">
        <v>21.663046148231221</v>
      </c>
      <c r="C106" s="3">
        <v>16.466197967831089</v>
      </c>
      <c r="D106" s="3">
        <v>12.650916049664071</v>
      </c>
      <c r="E106" s="3">
        <v>15.327746178340931</v>
      </c>
      <c r="F106" s="3">
        <v>12.22680225635421</v>
      </c>
      <c r="G106" s="3">
        <v>13.979605455030191</v>
      </c>
      <c r="H106" s="3">
        <v>7.6924557988135316</v>
      </c>
    </row>
    <row r="107" spans="1:8" x14ac:dyDescent="0.2">
      <c r="A107" s="3" t="s">
        <v>5560</v>
      </c>
      <c r="B107" s="3">
        <v>11.25458640817798</v>
      </c>
      <c r="C107" s="3">
        <v>8.974867127648114</v>
      </c>
      <c r="D107" s="3">
        <v>7.2060183710141628</v>
      </c>
      <c r="E107" s="3">
        <v>10.23568756870362</v>
      </c>
      <c r="F107" s="3">
        <v>7.7067015076805312</v>
      </c>
      <c r="G107" s="3">
        <v>7.1012087550728449</v>
      </c>
      <c r="H107" s="3">
        <v>7.9184817311759268</v>
      </c>
    </row>
    <row r="108" spans="1:8" x14ac:dyDescent="0.2">
      <c r="A108" s="3" t="s">
        <v>5561</v>
      </c>
      <c r="B108" s="3">
        <v>38.396823127097321</v>
      </c>
      <c r="C108" s="3">
        <v>38.355496790164381</v>
      </c>
      <c r="D108" s="3">
        <v>38.576309457849888</v>
      </c>
      <c r="E108" s="3">
        <v>36.379072444698707</v>
      </c>
      <c r="F108" s="3">
        <v>31.45989483524755</v>
      </c>
      <c r="G108" s="3">
        <v>45.604405527538127</v>
      </c>
      <c r="H108" s="3">
        <v>25.258979204069611</v>
      </c>
    </row>
    <row r="109" spans="1:8" x14ac:dyDescent="0.2">
      <c r="A109" s="3" t="s">
        <v>5562</v>
      </c>
      <c r="B109" s="3">
        <v>43.0514174812485</v>
      </c>
      <c r="C109" s="3">
        <v>39.57271818493907</v>
      </c>
      <c r="D109" s="3">
        <v>27.982540798124621</v>
      </c>
      <c r="E109" s="3">
        <v>31.66573067819478</v>
      </c>
      <c r="F109" s="3">
        <v>27.870411516902902</v>
      </c>
      <c r="G109" s="3">
        <v>32.875947275456539</v>
      </c>
      <c r="H109" s="3">
        <v>23.906480827989899</v>
      </c>
    </row>
    <row r="110" spans="1:8" x14ac:dyDescent="0.2">
      <c r="A110" s="3" t="s">
        <v>5563</v>
      </c>
      <c r="B110" s="3">
        <v>16.935452179012479</v>
      </c>
      <c r="C110" s="3">
        <v>19.841608598480931</v>
      </c>
      <c r="D110" s="3">
        <v>27.433679099598049</v>
      </c>
      <c r="E110" s="3">
        <v>23.89037462209302</v>
      </c>
      <c r="F110" s="3">
        <v>27.484917081476912</v>
      </c>
      <c r="G110" s="3">
        <v>21.557032823644828</v>
      </c>
      <c r="H110" s="3">
        <v>34.082736494813673</v>
      </c>
    </row>
    <row r="111" spans="1:8" x14ac:dyDescent="0.2">
      <c r="A111" s="3" t="s">
        <v>5564</v>
      </c>
      <c r="B111" s="3">
        <v>16.451516986599621</v>
      </c>
      <c r="C111" s="3">
        <v>10.566563984652349</v>
      </c>
      <c r="D111" s="3">
        <v>8.2710831912928491</v>
      </c>
      <c r="E111" s="3">
        <v>11.11813549821921</v>
      </c>
      <c r="F111" s="3">
        <v>9.3817615714247058</v>
      </c>
      <c r="G111" s="3">
        <v>14.0865281861984</v>
      </c>
      <c r="H111" s="3">
        <v>9.0747241553056526</v>
      </c>
    </row>
    <row r="112" spans="1:8" x14ac:dyDescent="0.2">
      <c r="A112" s="3" t="s">
        <v>5570</v>
      </c>
      <c r="B112" s="3">
        <v>6.926423031527583</v>
      </c>
      <c r="C112" s="3">
        <v>5.6902519671109459</v>
      </c>
      <c r="D112" s="3">
        <v>6.8782597159877454</v>
      </c>
      <c r="E112" s="3">
        <v>6.2246831725217557</v>
      </c>
      <c r="F112" s="3">
        <v>3.2446461345931499</v>
      </c>
      <c r="G112" s="3">
        <v>7.6588271247636461</v>
      </c>
      <c r="H112" s="3">
        <v>7.1082840643524143</v>
      </c>
    </row>
    <row r="113" spans="1:8" x14ac:dyDescent="0.2">
      <c r="A113" s="3" t="s">
        <v>5835</v>
      </c>
      <c r="B113" s="3">
        <v>23.61103899388144</v>
      </c>
      <c r="C113" s="3">
        <v>21.204170086767501</v>
      </c>
      <c r="D113" s="3">
        <v>16.933048121017329</v>
      </c>
      <c r="E113" s="3">
        <v>19.091134511177561</v>
      </c>
      <c r="F113" s="3">
        <v>16.35257614907173</v>
      </c>
      <c r="G113" s="3">
        <v>21.100067305483751</v>
      </c>
      <c r="H113" s="3">
        <v>18.145443105875081</v>
      </c>
    </row>
    <row r="115" spans="1:8" x14ac:dyDescent="0.2">
      <c r="A115" s="3" t="s">
        <v>5573</v>
      </c>
    </row>
    <row r="116" spans="1:8" s="2" customFormat="1" x14ac:dyDescent="0.2">
      <c r="A116" s="509" t="s">
        <v>5594</v>
      </c>
      <c r="B116" s="509" t="s">
        <v>5717</v>
      </c>
      <c r="C116" s="509" t="s">
        <v>5588</v>
      </c>
      <c r="D116" s="509" t="s">
        <v>5589</v>
      </c>
      <c r="E116" s="509" t="s">
        <v>5590</v>
      </c>
      <c r="F116" s="509" t="s">
        <v>5591</v>
      </c>
      <c r="G116" s="509" t="s">
        <v>5592</v>
      </c>
      <c r="H116" s="509" t="s">
        <v>5595</v>
      </c>
    </row>
    <row r="117" spans="1:8" x14ac:dyDescent="0.2">
      <c r="A117" s="3" t="s">
        <v>5574</v>
      </c>
      <c r="B117" s="3">
        <v>13.735115814525621</v>
      </c>
      <c r="C117" s="3">
        <v>7.813708552677757</v>
      </c>
      <c r="D117" s="3">
        <v>6.7865753764344747</v>
      </c>
      <c r="E117" s="3">
        <v>6.8474120856606602</v>
      </c>
      <c r="F117" s="3">
        <v>6.7233593652288546</v>
      </c>
      <c r="G117" s="3">
        <v>4.0846032227298306</v>
      </c>
      <c r="H117" s="3">
        <v>6.8522169430717703</v>
      </c>
    </row>
    <row r="118" spans="1:8" x14ac:dyDescent="0.2">
      <c r="A118" s="3" t="s">
        <v>5575</v>
      </c>
      <c r="B118" s="3">
        <v>35.700970785212569</v>
      </c>
      <c r="C118" s="3">
        <v>29.619613994832271</v>
      </c>
      <c r="D118" s="3">
        <v>20.752186865848191</v>
      </c>
      <c r="E118" s="3">
        <v>23.351019872137101</v>
      </c>
      <c r="F118" s="3">
        <v>22.325315960670721</v>
      </c>
      <c r="G118" s="3">
        <v>27.195320201390029</v>
      </c>
      <c r="H118" s="3">
        <v>20.73951063877875</v>
      </c>
    </row>
    <row r="119" spans="1:8" x14ac:dyDescent="0.2">
      <c r="A119" s="3" t="s">
        <v>5576</v>
      </c>
      <c r="B119" s="3">
        <v>16.84433397029321</v>
      </c>
      <c r="C119" s="3">
        <v>11.3893175633675</v>
      </c>
      <c r="D119" s="3">
        <v>9.1393477053342362</v>
      </c>
      <c r="E119" s="3">
        <v>10.91097453467891</v>
      </c>
      <c r="F119" s="3">
        <v>8.2042196441992754</v>
      </c>
      <c r="G119" s="3">
        <v>3.7694652303855141</v>
      </c>
      <c r="H119" s="3">
        <v>4.858004039399777</v>
      </c>
    </row>
    <row r="120" spans="1:8" x14ac:dyDescent="0.2">
      <c r="A120" s="3" t="s">
        <v>5577</v>
      </c>
      <c r="B120" s="3">
        <v>12.461595868979551</v>
      </c>
      <c r="C120" s="3">
        <v>7.8254595414266372</v>
      </c>
      <c r="D120" s="3">
        <v>8.0746839709536253</v>
      </c>
      <c r="E120" s="3">
        <v>6.4114639391697574</v>
      </c>
      <c r="F120" s="3">
        <v>7.6244533558506342</v>
      </c>
      <c r="G120" s="3">
        <v>6.4612248700852826</v>
      </c>
      <c r="H120" s="3">
        <v>2.9420336654269081</v>
      </c>
    </row>
    <row r="121" spans="1:8" x14ac:dyDescent="0.2">
      <c r="A121" s="3" t="s">
        <v>5578</v>
      </c>
      <c r="B121" s="3">
        <v>37.030240382237203</v>
      </c>
      <c r="C121" s="3">
        <v>26.645407057349271</v>
      </c>
      <c r="D121" s="3">
        <v>28.027000774546941</v>
      </c>
      <c r="E121" s="3">
        <v>24.92792700906687</v>
      </c>
      <c r="F121" s="3">
        <v>26.595278831271589</v>
      </c>
      <c r="G121" s="3">
        <v>7.5391662163939737</v>
      </c>
      <c r="H121" s="3">
        <v>21.31089942600795</v>
      </c>
    </row>
    <row r="122" spans="1:8" x14ac:dyDescent="0.2">
      <c r="A122" s="3" t="s">
        <v>5579</v>
      </c>
      <c r="B122" s="3">
        <v>28.272363321788809</v>
      </c>
      <c r="C122" s="3">
        <v>19.805885039584052</v>
      </c>
      <c r="D122" s="3">
        <v>14.936174261937881</v>
      </c>
      <c r="E122" s="3">
        <v>20.729287624179371</v>
      </c>
      <c r="F122" s="3">
        <v>19.718669426321028</v>
      </c>
      <c r="G122" s="3">
        <v>13.53912983879782</v>
      </c>
      <c r="H122" s="3">
        <v>20.57899299602926</v>
      </c>
    </row>
    <row r="123" spans="1:8" x14ac:dyDescent="0.2">
      <c r="A123" s="3" t="s">
        <v>5580</v>
      </c>
      <c r="B123" s="3">
        <v>93.183816735636725</v>
      </c>
      <c r="C123" s="3">
        <v>91.694704466562541</v>
      </c>
      <c r="D123" s="3">
        <v>83.882035910767854</v>
      </c>
      <c r="E123" s="3">
        <v>90.73615089030487</v>
      </c>
      <c r="F123" s="3">
        <v>88.88224652406609</v>
      </c>
      <c r="G123" s="3">
        <v>96.709127223931674</v>
      </c>
      <c r="H123" s="3">
        <v>95.755093855165782</v>
      </c>
    </row>
    <row r="124" spans="1:8" x14ac:dyDescent="0.2">
      <c r="A124" s="3" t="s">
        <v>5581</v>
      </c>
      <c r="B124" s="3">
        <v>5.5177040203478027</v>
      </c>
      <c r="C124" s="3">
        <v>3.779535683695491</v>
      </c>
      <c r="D124" s="3">
        <v>6.411228780906713</v>
      </c>
      <c r="E124" s="3">
        <v>2.6581533147981409</v>
      </c>
      <c r="F124" s="3">
        <v>3.69045504816755</v>
      </c>
      <c r="G124" s="3">
        <v>3.0334126087248019</v>
      </c>
      <c r="H124" s="3">
        <v>2.874694308388074</v>
      </c>
    </row>
    <row r="125" spans="1:8" x14ac:dyDescent="0.2">
      <c r="A125" s="3" t="s">
        <v>5582</v>
      </c>
      <c r="B125" s="3">
        <v>28.64387128178933</v>
      </c>
      <c r="C125" s="3">
        <v>17.478936267987159</v>
      </c>
      <c r="D125" s="3">
        <v>17.83585832362504</v>
      </c>
      <c r="E125" s="3">
        <v>17.71543483440043</v>
      </c>
      <c r="F125" s="3">
        <v>16.188095278880709</v>
      </c>
      <c r="G125" s="3">
        <v>22.000387068368489</v>
      </c>
      <c r="H125" s="3">
        <v>27.102415282511171</v>
      </c>
    </row>
    <row r="126" spans="1:8" x14ac:dyDescent="0.2">
      <c r="A126" s="3" t="s">
        <v>5583</v>
      </c>
      <c r="B126" s="3">
        <v>9.6463082367524358</v>
      </c>
      <c r="C126" s="3">
        <v>5.3755703312555596</v>
      </c>
      <c r="D126" s="3">
        <v>4.3103084354004038</v>
      </c>
      <c r="E126" s="3">
        <v>5.1817841105341298</v>
      </c>
      <c r="F126" s="3">
        <v>4.6981798467243303</v>
      </c>
      <c r="G126" s="3">
        <v>3.9702538825636782</v>
      </c>
      <c r="H126" s="3">
        <v>4.0204755012433937</v>
      </c>
    </row>
    <row r="127" spans="1:8" x14ac:dyDescent="0.2">
      <c r="A127" s="3" t="s">
        <v>5584</v>
      </c>
      <c r="B127" s="3">
        <v>42.821481430164958</v>
      </c>
      <c r="C127" s="3">
        <v>30.60185901752082</v>
      </c>
      <c r="D127" s="3">
        <v>28.486138962018689</v>
      </c>
      <c r="E127" s="3">
        <v>30.666973929390672</v>
      </c>
      <c r="F127" s="3">
        <v>31.465653298322941</v>
      </c>
      <c r="G127" s="3">
        <v>31.586745159745909</v>
      </c>
      <c r="H127" s="3">
        <v>23.296216612156961</v>
      </c>
    </row>
    <row r="128" spans="1:8" x14ac:dyDescent="0.2">
      <c r="A128" s="3" t="s">
        <v>5585</v>
      </c>
      <c r="B128" s="3">
        <v>61.698875608802098</v>
      </c>
      <c r="C128" s="3">
        <v>41.750155564624542</v>
      </c>
      <c r="D128" s="3">
        <v>32.682008435976257</v>
      </c>
      <c r="E128" s="3">
        <v>33.821545160591192</v>
      </c>
      <c r="F128" s="3">
        <v>32.393805744481149</v>
      </c>
      <c r="G128" s="3">
        <v>36.411611285711487</v>
      </c>
      <c r="H128" s="3">
        <v>37.770450276129651</v>
      </c>
    </row>
    <row r="129" spans="1:8" x14ac:dyDescent="0.2">
      <c r="A129" s="3" t="s">
        <v>5586</v>
      </c>
      <c r="B129" s="3">
        <v>11.320354694067509</v>
      </c>
      <c r="C129" s="3">
        <v>5.8039930684757586</v>
      </c>
      <c r="D129" s="3">
        <v>5.5101850980687281</v>
      </c>
      <c r="E129" s="3">
        <v>5.5390580943669363</v>
      </c>
      <c r="F129" s="3">
        <v>4.8052725688878004</v>
      </c>
      <c r="G129" s="3">
        <v>5.4661249247433634</v>
      </c>
      <c r="H129" s="3">
        <v>1.6807489555390791</v>
      </c>
    </row>
    <row r="130" spans="1:8" x14ac:dyDescent="0.2">
      <c r="A130" s="3" t="s">
        <v>5587</v>
      </c>
      <c r="B130" s="3">
        <v>25.38327946966659</v>
      </c>
      <c r="C130" s="3">
        <v>16.798753283668098</v>
      </c>
      <c r="D130" s="3">
        <v>16.331708605386041</v>
      </c>
      <c r="E130" s="3">
        <v>17.50734711862702</v>
      </c>
      <c r="F130" s="3">
        <v>19.557929520867411</v>
      </c>
      <c r="G130" s="3">
        <v>17.539128119266771</v>
      </c>
      <c r="H130" s="3">
        <v>22.671400687403839</v>
      </c>
    </row>
    <row r="131" spans="1:8" x14ac:dyDescent="0.2">
      <c r="A131" s="3" t="s">
        <v>5593</v>
      </c>
      <c r="B131" s="3">
        <v>9.4459487913128335</v>
      </c>
      <c r="C131" s="3">
        <v>6.647296633654153</v>
      </c>
      <c r="D131" s="3">
        <v>4.9111986151021556</v>
      </c>
      <c r="E131" s="3">
        <v>5.6262076091498514</v>
      </c>
      <c r="F131" s="3">
        <v>3.899638187222624</v>
      </c>
      <c r="G131" s="3">
        <v>4.4063656155428266</v>
      </c>
      <c r="H131" s="3">
        <v>5.0250193309226674</v>
      </c>
    </row>
    <row r="132" spans="1:8" x14ac:dyDescent="0.2">
      <c r="A132" s="3" t="s">
        <v>5835</v>
      </c>
      <c r="B132" s="3">
        <v>33.43356235940275</v>
      </c>
      <c r="C132" s="3">
        <v>21.402176415305341</v>
      </c>
      <c r="D132" s="3">
        <v>16.516379633237559</v>
      </c>
      <c r="E132" s="3">
        <v>18.786855306253528</v>
      </c>
      <c r="F132" s="3">
        <v>18.257043533826899</v>
      </c>
      <c r="G132" s="3">
        <v>18.87327710636583</v>
      </c>
      <c r="H132" s="3">
        <v>18.056908438078999</v>
      </c>
    </row>
    <row r="134" spans="1:8" x14ac:dyDescent="0.2">
      <c r="A134" s="3" t="s">
        <v>5596</v>
      </c>
    </row>
    <row r="135" spans="1:8" s="2" customFormat="1" x14ac:dyDescent="0.2">
      <c r="A135" s="509" t="s">
        <v>5617</v>
      </c>
      <c r="B135" s="509" t="s">
        <v>5718</v>
      </c>
      <c r="C135" s="509" t="s">
        <v>5611</v>
      </c>
      <c r="D135" s="509" t="s">
        <v>5612</v>
      </c>
      <c r="E135" s="509" t="s">
        <v>5613</v>
      </c>
      <c r="F135" s="509" t="s">
        <v>5614</v>
      </c>
      <c r="G135" s="509" t="s">
        <v>5615</v>
      </c>
      <c r="H135" s="509" t="s">
        <v>5618</v>
      </c>
    </row>
    <row r="136" spans="1:8" x14ac:dyDescent="0.2">
      <c r="A136" s="3" t="s">
        <v>5597</v>
      </c>
      <c r="B136" s="3">
        <v>0</v>
      </c>
      <c r="C136" s="3">
        <v>0.25584258575175561</v>
      </c>
      <c r="D136" s="3">
        <v>0</v>
      </c>
      <c r="E136" s="3">
        <v>0</v>
      </c>
      <c r="F136" s="3">
        <v>0</v>
      </c>
      <c r="G136" s="3">
        <v>0</v>
      </c>
      <c r="H136" s="3">
        <v>0</v>
      </c>
    </row>
    <row r="137" spans="1:8" x14ac:dyDescent="0.2">
      <c r="A137" s="3" t="s">
        <v>5598</v>
      </c>
      <c r="B137" s="3">
        <v>0.59793904187102509</v>
      </c>
      <c r="C137" s="3">
        <v>0.105513929229826</v>
      </c>
      <c r="D137" s="3">
        <v>0</v>
      </c>
      <c r="E137" s="3">
        <v>0</v>
      </c>
      <c r="F137" s="3">
        <v>0.24648278904997209</v>
      </c>
      <c r="G137" s="3">
        <v>0</v>
      </c>
      <c r="H137" s="3">
        <v>0</v>
      </c>
    </row>
    <row r="138" spans="1:8" x14ac:dyDescent="0.2">
      <c r="A138" s="3" t="s">
        <v>5599</v>
      </c>
      <c r="B138" s="3">
        <v>0.33926482113580708</v>
      </c>
      <c r="C138" s="3">
        <v>0</v>
      </c>
      <c r="D138" s="3">
        <v>0</v>
      </c>
      <c r="E138" s="3">
        <v>0</v>
      </c>
      <c r="F138" s="3">
        <v>0</v>
      </c>
      <c r="G138" s="3">
        <v>0</v>
      </c>
      <c r="H138" s="3">
        <v>0</v>
      </c>
    </row>
    <row r="139" spans="1:8" x14ac:dyDescent="0.2">
      <c r="A139" s="3" t="s">
        <v>5600</v>
      </c>
      <c r="B139" s="3">
        <v>9.3789663981326196E-2</v>
      </c>
      <c r="C139" s="3">
        <v>0</v>
      </c>
      <c r="D139" s="3">
        <v>0</v>
      </c>
      <c r="E139" s="3">
        <v>0</v>
      </c>
      <c r="F139" s="3">
        <v>0</v>
      </c>
      <c r="G139" s="3">
        <v>0</v>
      </c>
      <c r="H139" s="3">
        <v>0</v>
      </c>
    </row>
    <row r="140" spans="1:8" x14ac:dyDescent="0.2">
      <c r="A140" s="3" t="s">
        <v>5601</v>
      </c>
      <c r="B140" s="3">
        <v>0.54194505228153134</v>
      </c>
      <c r="C140" s="3">
        <v>0</v>
      </c>
      <c r="D140" s="3">
        <v>0</v>
      </c>
      <c r="E140" s="3">
        <v>0</v>
      </c>
      <c r="F140" s="3">
        <v>0.25925687869021791</v>
      </c>
      <c r="G140" s="3">
        <v>0</v>
      </c>
      <c r="H140" s="3">
        <v>0</v>
      </c>
    </row>
    <row r="141" spans="1:8" x14ac:dyDescent="0.2">
      <c r="A141" s="3" t="s">
        <v>5602</v>
      </c>
      <c r="B141" s="3">
        <v>0.52361911899787184</v>
      </c>
      <c r="C141" s="3">
        <v>1.74844117547239E-2</v>
      </c>
      <c r="D141" s="3">
        <v>0.39397331287093679</v>
      </c>
      <c r="E141" s="3">
        <v>0.25545783201406891</v>
      </c>
      <c r="F141" s="3">
        <v>7.7757432398455001E-3</v>
      </c>
      <c r="G141" s="3">
        <v>0</v>
      </c>
      <c r="H141" s="3">
        <v>7.4788133043557206E-2</v>
      </c>
    </row>
    <row r="142" spans="1:8" x14ac:dyDescent="0.2">
      <c r="A142" s="3" t="s">
        <v>5603</v>
      </c>
      <c r="B142" s="3">
        <v>5.7649228348526202</v>
      </c>
      <c r="C142" s="3">
        <v>5.7126809168952217</v>
      </c>
      <c r="D142" s="3">
        <v>3.1956774996999671</v>
      </c>
      <c r="E142" s="3">
        <v>4.0476112971423461</v>
      </c>
      <c r="F142" s="3">
        <v>3.614599434581995</v>
      </c>
      <c r="G142" s="3">
        <v>4.9105264167025426</v>
      </c>
      <c r="H142" s="3">
        <v>8.0076768461271168</v>
      </c>
    </row>
    <row r="143" spans="1:8" x14ac:dyDescent="0.2">
      <c r="A143" s="3" t="s">
        <v>5604</v>
      </c>
      <c r="B143" s="3">
        <v>0</v>
      </c>
      <c r="C143" s="3">
        <v>0</v>
      </c>
      <c r="D143" s="3">
        <v>0</v>
      </c>
      <c r="E143" s="3">
        <v>0</v>
      </c>
      <c r="F143" s="3">
        <v>0</v>
      </c>
      <c r="G143" s="3">
        <v>0</v>
      </c>
      <c r="H143" s="3">
        <v>0</v>
      </c>
    </row>
    <row r="144" spans="1:8" x14ac:dyDescent="0.2">
      <c r="A144" s="3" t="s">
        <v>5605</v>
      </c>
      <c r="B144" s="3">
        <v>0.42838410985971298</v>
      </c>
      <c r="C144" s="3">
        <v>0.35777442187789849</v>
      </c>
      <c r="D144" s="3">
        <v>0.40473985257937578</v>
      </c>
      <c r="E144" s="3">
        <v>0.42704773937190771</v>
      </c>
      <c r="F144" s="3">
        <v>0.33212266085063491</v>
      </c>
      <c r="G144" s="3">
        <v>1.1715166713165399</v>
      </c>
      <c r="H144" s="3">
        <v>0</v>
      </c>
    </row>
    <row r="145" spans="1:8" x14ac:dyDescent="0.2">
      <c r="A145" s="3" t="s">
        <v>5606</v>
      </c>
      <c r="B145" s="3">
        <v>0.38617434655865052</v>
      </c>
      <c r="C145" s="3">
        <v>0.19489898310048751</v>
      </c>
      <c r="D145" s="3">
        <v>0.34914794038128671</v>
      </c>
      <c r="E145" s="3">
        <v>0</v>
      </c>
      <c r="F145" s="3">
        <v>0</v>
      </c>
      <c r="G145" s="3">
        <v>0</v>
      </c>
      <c r="H145" s="3">
        <v>0</v>
      </c>
    </row>
    <row r="146" spans="1:8" x14ac:dyDescent="0.2">
      <c r="A146" s="3" t="s">
        <v>5607</v>
      </c>
      <c r="B146" s="3">
        <v>0.52009415870321873</v>
      </c>
      <c r="C146" s="3">
        <v>0.64465132972459627</v>
      </c>
      <c r="D146" s="3">
        <v>0</v>
      </c>
      <c r="E146" s="3">
        <v>0.3349973911800338</v>
      </c>
      <c r="F146" s="3">
        <v>0</v>
      </c>
      <c r="G146" s="3">
        <v>0</v>
      </c>
      <c r="H146" s="3">
        <v>0</v>
      </c>
    </row>
    <row r="147" spans="1:8" x14ac:dyDescent="0.2">
      <c r="A147" s="3" t="s">
        <v>5608</v>
      </c>
      <c r="B147" s="3">
        <v>3.224947731252676</v>
      </c>
      <c r="C147" s="3">
        <v>1.7289321298838951</v>
      </c>
      <c r="D147" s="3">
        <v>1.0119156526496029</v>
      </c>
      <c r="E147" s="3">
        <v>0.7460138962262971</v>
      </c>
      <c r="F147" s="3">
        <v>0.59061521460193556</v>
      </c>
      <c r="G147" s="3">
        <v>0.92968614784150994</v>
      </c>
      <c r="H147" s="3">
        <v>3.0040374598679231</v>
      </c>
    </row>
    <row r="148" spans="1:8" x14ac:dyDescent="0.2">
      <c r="A148" s="3" t="s">
        <v>5609</v>
      </c>
      <c r="B148" s="3">
        <v>0.22896974929388561</v>
      </c>
      <c r="C148" s="3">
        <v>0.47673925132872808</v>
      </c>
      <c r="D148" s="3">
        <v>0</v>
      </c>
      <c r="E148" s="3">
        <v>0</v>
      </c>
      <c r="F148" s="3">
        <v>0.29179202856233338</v>
      </c>
      <c r="G148" s="3">
        <v>0</v>
      </c>
      <c r="H148" s="3">
        <v>0</v>
      </c>
    </row>
    <row r="149" spans="1:8" x14ac:dyDescent="0.2">
      <c r="A149" s="3" t="s">
        <v>5610</v>
      </c>
      <c r="B149" s="3">
        <v>1.098826159740111</v>
      </c>
      <c r="C149" s="3">
        <v>0.21944849983840739</v>
      </c>
      <c r="D149" s="3">
        <v>0.41717077079793008</v>
      </c>
      <c r="E149" s="3">
        <v>1.0516740388249539</v>
      </c>
      <c r="F149" s="3">
        <v>0.40881188023834891</v>
      </c>
      <c r="G149" s="3">
        <v>0.66844970062852493</v>
      </c>
      <c r="H149" s="3">
        <v>1.884493078398346</v>
      </c>
    </row>
    <row r="150" spans="1:8" x14ac:dyDescent="0.2">
      <c r="A150" s="3" t="s">
        <v>5616</v>
      </c>
      <c r="B150" s="3">
        <v>6.0818635200085E-2</v>
      </c>
      <c r="C150" s="3">
        <v>0</v>
      </c>
      <c r="D150" s="3">
        <v>0</v>
      </c>
      <c r="E150" s="3">
        <v>0</v>
      </c>
      <c r="F150" s="3">
        <v>0</v>
      </c>
      <c r="G150" s="3">
        <v>0</v>
      </c>
      <c r="H150" s="3">
        <v>0</v>
      </c>
    </row>
    <row r="151" spans="1:8" x14ac:dyDescent="0.2">
      <c r="A151" s="3" t="s">
        <v>5835</v>
      </c>
      <c r="B151" s="3">
        <v>1.132111242165041</v>
      </c>
      <c r="C151" s="3">
        <v>0.51769307045978852</v>
      </c>
      <c r="D151" s="3">
        <v>0.2722329293622594</v>
      </c>
      <c r="E151" s="3">
        <v>0.34642881591460839</v>
      </c>
      <c r="F151" s="3">
        <v>0.24070654795663809</v>
      </c>
      <c r="G151" s="3">
        <v>0.3762356883347806</v>
      </c>
      <c r="H151" s="3">
        <v>0.6607828771987575</v>
      </c>
    </row>
    <row r="153" spans="1:8" x14ac:dyDescent="0.2">
      <c r="A153" s="3" t="s">
        <v>5619</v>
      </c>
    </row>
    <row r="154" spans="1:8" s="2" customFormat="1" x14ac:dyDescent="0.2">
      <c r="A154" s="509" t="s">
        <v>5640</v>
      </c>
      <c r="B154" s="509" t="s">
        <v>5719</v>
      </c>
      <c r="C154" s="509" t="s">
        <v>5634</v>
      </c>
      <c r="D154" s="509" t="s">
        <v>5635</v>
      </c>
      <c r="E154" s="509" t="s">
        <v>5636</v>
      </c>
      <c r="F154" s="509" t="s">
        <v>5637</v>
      </c>
      <c r="G154" s="509" t="s">
        <v>5638</v>
      </c>
      <c r="H154" s="509" t="s">
        <v>5641</v>
      </c>
    </row>
    <row r="155" spans="1:8" x14ac:dyDescent="0.2">
      <c r="A155" s="3" t="s">
        <v>5620</v>
      </c>
      <c r="B155" s="3">
        <v>13.016359960453309</v>
      </c>
      <c r="C155" s="3">
        <v>11.0457253455117</v>
      </c>
      <c r="D155" s="3">
        <v>4.7565590933758202</v>
      </c>
      <c r="E155" s="3">
        <v>8.5912497004566308</v>
      </c>
      <c r="F155" s="3">
        <v>9.2846971901606281</v>
      </c>
      <c r="G155" s="3">
        <v>8.5975520443849867</v>
      </c>
      <c r="H155" s="3">
        <v>12.469772916921601</v>
      </c>
    </row>
    <row r="156" spans="1:8" x14ac:dyDescent="0.2">
      <c r="A156" s="3" t="s">
        <v>5621</v>
      </c>
      <c r="B156" s="3">
        <v>31.742779967102489</v>
      </c>
      <c r="C156" s="3">
        <v>23.666506607416949</v>
      </c>
      <c r="D156" s="3">
        <v>18.393472502283998</v>
      </c>
      <c r="E156" s="3">
        <v>21.296655132592178</v>
      </c>
      <c r="F156" s="3">
        <v>19.94397725035822</v>
      </c>
      <c r="G156" s="3">
        <v>25.78925036858093</v>
      </c>
      <c r="H156" s="3">
        <v>23.173967316228829</v>
      </c>
    </row>
    <row r="157" spans="1:8" x14ac:dyDescent="0.2">
      <c r="A157" s="3" t="s">
        <v>5622</v>
      </c>
      <c r="B157" s="3">
        <v>16.393490499188161</v>
      </c>
      <c r="C157" s="3">
        <v>9.2628083091384159</v>
      </c>
      <c r="D157" s="3">
        <v>6.9737136205546992</v>
      </c>
      <c r="E157" s="3">
        <v>5.9292134680313664</v>
      </c>
      <c r="F157" s="3">
        <v>5.8002718207446504</v>
      </c>
      <c r="G157" s="3">
        <v>7.3581044427370941</v>
      </c>
      <c r="H157" s="3">
        <v>6.5015553662082404</v>
      </c>
    </row>
    <row r="158" spans="1:8" x14ac:dyDescent="0.2">
      <c r="A158" s="3" t="s">
        <v>5623</v>
      </c>
      <c r="B158" s="3">
        <v>22.660189005040991</v>
      </c>
      <c r="C158" s="3">
        <v>18.560407187449599</v>
      </c>
      <c r="D158" s="3">
        <v>17.205616932493001</v>
      </c>
      <c r="E158" s="3">
        <v>17.539988933875971</v>
      </c>
      <c r="F158" s="3">
        <v>17.514549313350091</v>
      </c>
      <c r="G158" s="3">
        <v>16.406445114769099</v>
      </c>
      <c r="H158" s="3">
        <v>12.76691299975618</v>
      </c>
    </row>
    <row r="159" spans="1:8" x14ac:dyDescent="0.2">
      <c r="A159" s="3" t="s">
        <v>5624</v>
      </c>
      <c r="B159" s="3">
        <v>22.712535844315781</v>
      </c>
      <c r="C159" s="3">
        <v>17.248038984135611</v>
      </c>
      <c r="D159" s="3">
        <v>19.97761849501661</v>
      </c>
      <c r="E159" s="3">
        <v>14.59160653147744</v>
      </c>
      <c r="F159" s="3">
        <v>21.449088236256461</v>
      </c>
      <c r="G159" s="3">
        <v>14.66769277888474</v>
      </c>
      <c r="H159" s="3">
        <v>23.419144211354691</v>
      </c>
    </row>
    <row r="160" spans="1:8" x14ac:dyDescent="0.2">
      <c r="A160" s="3" t="s">
        <v>5625</v>
      </c>
      <c r="B160" s="3">
        <v>41.776127733482873</v>
      </c>
      <c r="C160" s="3">
        <v>30.51648473774247</v>
      </c>
      <c r="D160" s="3">
        <v>21.000545884517692</v>
      </c>
      <c r="E160" s="3">
        <v>29.529981664809021</v>
      </c>
      <c r="F160" s="3">
        <v>27.761450148294639</v>
      </c>
      <c r="G160" s="3">
        <v>23.891842482486069</v>
      </c>
      <c r="H160" s="3">
        <v>25.62850295500645</v>
      </c>
    </row>
    <row r="161" spans="1:8" x14ac:dyDescent="0.2">
      <c r="A161" s="3" t="s">
        <v>5626</v>
      </c>
      <c r="B161" s="3">
        <v>91.981549034499906</v>
      </c>
      <c r="C161" s="3">
        <v>93.578666763700426</v>
      </c>
      <c r="D161" s="3">
        <v>88.265705834711412</v>
      </c>
      <c r="E161" s="3">
        <v>94.507837401056975</v>
      </c>
      <c r="F161" s="3">
        <v>93.18918614997969</v>
      </c>
      <c r="G161" s="3">
        <v>91.61736532071528</v>
      </c>
      <c r="H161" s="3">
        <v>83.259536547880259</v>
      </c>
    </row>
    <row r="162" spans="1:8" x14ac:dyDescent="0.2">
      <c r="A162" s="3" t="s">
        <v>5627</v>
      </c>
      <c r="B162" s="3">
        <v>2.7963049804673581</v>
      </c>
      <c r="C162" s="3">
        <v>2.8528618312241818</v>
      </c>
      <c r="D162" s="3">
        <v>2.5211309665967971</v>
      </c>
      <c r="E162" s="3">
        <v>1.314097302641682</v>
      </c>
      <c r="F162" s="3">
        <v>1.60860564745288</v>
      </c>
      <c r="G162" s="3">
        <v>0</v>
      </c>
      <c r="H162" s="3">
        <v>3.3783461962597761</v>
      </c>
    </row>
    <row r="163" spans="1:8" x14ac:dyDescent="0.2">
      <c r="A163" s="3" t="s">
        <v>5628</v>
      </c>
      <c r="B163" s="3">
        <v>24.009523052947209</v>
      </c>
      <c r="C163" s="3">
        <v>17.476954438071171</v>
      </c>
      <c r="D163" s="3">
        <v>17.780977610619701</v>
      </c>
      <c r="E163" s="3">
        <v>17.979304768662089</v>
      </c>
      <c r="F163" s="3">
        <v>16.38445465227122</v>
      </c>
      <c r="G163" s="3">
        <v>22.547819283556201</v>
      </c>
      <c r="H163" s="3">
        <v>21.480645671315109</v>
      </c>
    </row>
    <row r="164" spans="1:8" x14ac:dyDescent="0.2">
      <c r="A164" s="3" t="s">
        <v>5629</v>
      </c>
      <c r="B164" s="3">
        <v>17.21937786581562</v>
      </c>
      <c r="C164" s="3">
        <v>12.255238130570669</v>
      </c>
      <c r="D164" s="3">
        <v>8.2947511635885043</v>
      </c>
      <c r="E164" s="3">
        <v>14.57716032658305</v>
      </c>
      <c r="F164" s="3">
        <v>10.04797298883191</v>
      </c>
      <c r="G164" s="3">
        <v>12.540596406702541</v>
      </c>
      <c r="H164" s="3">
        <v>14.94405011041524</v>
      </c>
    </row>
    <row r="165" spans="1:8" x14ac:dyDescent="0.2">
      <c r="A165" s="3" t="s">
        <v>5630</v>
      </c>
      <c r="B165" s="3">
        <v>50.566236739415068</v>
      </c>
      <c r="C165" s="3">
        <v>44.805566325142081</v>
      </c>
      <c r="D165" s="3">
        <v>39.496329333191262</v>
      </c>
      <c r="E165" s="3">
        <v>38.714788634452482</v>
      </c>
      <c r="F165" s="3">
        <v>39.58374679273301</v>
      </c>
      <c r="G165" s="3">
        <v>41.143103086228137</v>
      </c>
      <c r="H165" s="3">
        <v>39.153153943907988</v>
      </c>
    </row>
    <row r="166" spans="1:8" x14ac:dyDescent="0.2">
      <c r="A166" s="3" t="s">
        <v>5631</v>
      </c>
      <c r="B166" s="3">
        <v>71.751418912297837</v>
      </c>
      <c r="C166" s="3">
        <v>51.464559933120192</v>
      </c>
      <c r="D166" s="3">
        <v>45.799087532592779</v>
      </c>
      <c r="E166" s="3">
        <v>48.193665217105313</v>
      </c>
      <c r="F166" s="3">
        <v>41.412636028949848</v>
      </c>
      <c r="G166" s="3">
        <v>50.297212564917572</v>
      </c>
      <c r="H166" s="3">
        <v>46.844265249002063</v>
      </c>
    </row>
    <row r="167" spans="1:8" x14ac:dyDescent="0.2">
      <c r="A167" s="3" t="s">
        <v>5632</v>
      </c>
      <c r="B167" s="3">
        <v>28.507062614980349</v>
      </c>
      <c r="C167" s="3">
        <v>20.70060945704974</v>
      </c>
      <c r="D167" s="3">
        <v>22.10143325595994</v>
      </c>
      <c r="E167" s="3">
        <v>21.358310009648971</v>
      </c>
      <c r="F167" s="3">
        <v>17.339828011440702</v>
      </c>
      <c r="G167" s="3">
        <v>27.131287185334031</v>
      </c>
      <c r="H167" s="3">
        <v>15.99281278300306</v>
      </c>
    </row>
    <row r="168" spans="1:8" x14ac:dyDescent="0.2">
      <c r="A168" s="3" t="s">
        <v>5633</v>
      </c>
      <c r="B168" s="3">
        <v>22.66821497963867</v>
      </c>
      <c r="C168" s="3">
        <v>14.62477930153165</v>
      </c>
      <c r="D168" s="3">
        <v>12.48337711249096</v>
      </c>
      <c r="E168" s="3">
        <v>15.590606495367039</v>
      </c>
      <c r="F168" s="3">
        <v>16.151439975176839</v>
      </c>
      <c r="G168" s="3">
        <v>17.937461683515551</v>
      </c>
      <c r="H168" s="3">
        <v>22.366343422512191</v>
      </c>
    </row>
    <row r="169" spans="1:8" x14ac:dyDescent="0.2">
      <c r="A169" s="3" t="s">
        <v>5639</v>
      </c>
      <c r="B169" s="3">
        <v>17.482012734449079</v>
      </c>
      <c r="C169" s="3">
        <v>12.80600915724086</v>
      </c>
      <c r="D169" s="3">
        <v>11.829144415415911</v>
      </c>
      <c r="E169" s="3">
        <v>11.167631315814489</v>
      </c>
      <c r="F169" s="3">
        <v>11.81120502784745</v>
      </c>
      <c r="G169" s="3">
        <v>21.306665866028009</v>
      </c>
      <c r="H169" s="3">
        <v>6.7955879531807133</v>
      </c>
    </row>
    <row r="170" spans="1:8" x14ac:dyDescent="0.2">
      <c r="A170" s="3" t="s">
        <v>5835</v>
      </c>
      <c r="B170" s="3">
        <v>37.945806908781478</v>
      </c>
      <c r="C170" s="3">
        <v>26.50115769915886</v>
      </c>
      <c r="D170" s="3">
        <v>20.289165119454889</v>
      </c>
      <c r="E170" s="3">
        <v>23.613175898240829</v>
      </c>
      <c r="F170" s="3">
        <v>21.574241634802519</v>
      </c>
      <c r="G170" s="3">
        <v>25.32658872668101</v>
      </c>
      <c r="H170" s="3">
        <v>23.906193059338179</v>
      </c>
    </row>
    <row r="172" spans="1:8" x14ac:dyDescent="0.2">
      <c r="A172" s="3" t="s">
        <v>5642</v>
      </c>
    </row>
    <row r="173" spans="1:8" s="2" customFormat="1" x14ac:dyDescent="0.2">
      <c r="A173" s="509" t="s">
        <v>5663</v>
      </c>
      <c r="B173" s="509" t="s">
        <v>5720</v>
      </c>
      <c r="C173" s="509" t="s">
        <v>5657</v>
      </c>
      <c r="D173" s="509" t="s">
        <v>5658</v>
      </c>
      <c r="E173" s="509" t="s">
        <v>5659</v>
      </c>
      <c r="F173" s="509" t="s">
        <v>5660</v>
      </c>
      <c r="G173" s="509" t="s">
        <v>5661</v>
      </c>
      <c r="H173" s="509" t="s">
        <v>5664</v>
      </c>
    </row>
    <row r="174" spans="1:8" x14ac:dyDescent="0.2">
      <c r="A174" s="3" t="s">
        <v>5643</v>
      </c>
      <c r="B174" s="3">
        <v>19.907625543299901</v>
      </c>
      <c r="C174" s="3">
        <v>14.871776763559261</v>
      </c>
      <c r="D174" s="3">
        <v>14.9127363707707</v>
      </c>
      <c r="E174" s="3">
        <v>14.958612109745591</v>
      </c>
      <c r="F174" s="3">
        <v>14.17156127094464</v>
      </c>
      <c r="G174" s="3">
        <v>12.28657859244661</v>
      </c>
      <c r="H174" s="3">
        <v>19.317218253514511</v>
      </c>
    </row>
    <row r="175" spans="1:8" x14ac:dyDescent="0.2">
      <c r="A175" s="3" t="s">
        <v>5644</v>
      </c>
      <c r="B175" s="3">
        <v>24.8942628865871</v>
      </c>
      <c r="C175" s="3">
        <v>21.92152139565199</v>
      </c>
      <c r="D175" s="3">
        <v>19.68419515743323</v>
      </c>
      <c r="E175" s="3">
        <v>20.40567081181289</v>
      </c>
      <c r="F175" s="3">
        <v>21.657595961152449</v>
      </c>
      <c r="G175" s="3">
        <v>19.969914055292868</v>
      </c>
      <c r="H175" s="3">
        <v>20.99706761949583</v>
      </c>
    </row>
    <row r="176" spans="1:8" x14ac:dyDescent="0.2">
      <c r="A176" s="3" t="s">
        <v>5645</v>
      </c>
      <c r="B176" s="3">
        <v>20.047701537324329</v>
      </c>
      <c r="C176" s="3">
        <v>14.723683902789549</v>
      </c>
      <c r="D176" s="3">
        <v>12.188835033173669</v>
      </c>
      <c r="E176" s="3">
        <v>13.64710756962455</v>
      </c>
      <c r="F176" s="3">
        <v>13.21945774582522</v>
      </c>
      <c r="G176" s="3">
        <v>12.88566568742632</v>
      </c>
      <c r="H176" s="3">
        <v>13.81405945443306</v>
      </c>
    </row>
    <row r="177" spans="1:8" x14ac:dyDescent="0.2">
      <c r="A177" s="3" t="s">
        <v>5646</v>
      </c>
      <c r="B177" s="3">
        <v>23.102774389055689</v>
      </c>
      <c r="C177" s="3">
        <v>19.437310401054081</v>
      </c>
      <c r="D177" s="3">
        <v>18.29267156771477</v>
      </c>
      <c r="E177" s="3">
        <v>18.299525829765241</v>
      </c>
      <c r="F177" s="3">
        <v>19.408543912889311</v>
      </c>
      <c r="G177" s="3">
        <v>14.893082581965571</v>
      </c>
      <c r="H177" s="3">
        <v>16.636729838732009</v>
      </c>
    </row>
    <row r="178" spans="1:8" x14ac:dyDescent="0.2">
      <c r="A178" s="3" t="s">
        <v>5647</v>
      </c>
      <c r="B178" s="3">
        <v>23.69601743522011</v>
      </c>
      <c r="C178" s="3">
        <v>23.314967699594629</v>
      </c>
      <c r="D178" s="3">
        <v>22.837761080940481</v>
      </c>
      <c r="E178" s="3">
        <v>22.992701752301102</v>
      </c>
      <c r="F178" s="3">
        <v>23.908478755592331</v>
      </c>
      <c r="G178" s="3">
        <v>19.800578921576129</v>
      </c>
      <c r="H178" s="3">
        <v>24.982442973251771</v>
      </c>
    </row>
    <row r="179" spans="1:8" x14ac:dyDescent="0.2">
      <c r="A179" s="3" t="s">
        <v>5648</v>
      </c>
      <c r="B179" s="3">
        <v>25.4623909091797</v>
      </c>
      <c r="C179" s="3">
        <v>20.571883361023549</v>
      </c>
      <c r="D179" s="3">
        <v>17.180188864304931</v>
      </c>
      <c r="E179" s="3">
        <v>20.044600779454282</v>
      </c>
      <c r="F179" s="3">
        <v>18.91073864426491</v>
      </c>
      <c r="G179" s="3">
        <v>16.74087138981794</v>
      </c>
      <c r="H179" s="3">
        <v>17.66492344141523</v>
      </c>
    </row>
    <row r="180" spans="1:8" x14ac:dyDescent="0.2">
      <c r="A180" s="3" t="s">
        <v>5649</v>
      </c>
      <c r="B180" s="3">
        <v>38.911454202224903</v>
      </c>
      <c r="C180" s="3">
        <v>39.277791798663337</v>
      </c>
      <c r="D180" s="3">
        <v>37.548323435952177</v>
      </c>
      <c r="E180" s="3">
        <v>37.326188156601852</v>
      </c>
      <c r="F180" s="3">
        <v>35.639315750600929</v>
      </c>
      <c r="G180" s="3">
        <v>40.065934040499528</v>
      </c>
      <c r="H180" s="3">
        <v>37.196994620437323</v>
      </c>
    </row>
    <row r="181" spans="1:8" x14ac:dyDescent="0.2">
      <c r="A181" s="3" t="s">
        <v>5650</v>
      </c>
      <c r="B181" s="3">
        <v>9.0603497502067256</v>
      </c>
      <c r="C181" s="3">
        <v>6.646134497392306</v>
      </c>
      <c r="D181" s="3">
        <v>6.0950995443269562</v>
      </c>
      <c r="E181" s="3">
        <v>4.7171742694779493</v>
      </c>
      <c r="F181" s="3">
        <v>4.0061802868080054</v>
      </c>
      <c r="G181" s="3">
        <v>5.3299338318777991</v>
      </c>
      <c r="H181" s="3">
        <v>4.9911603436761238</v>
      </c>
    </row>
    <row r="182" spans="1:8" x14ac:dyDescent="0.2">
      <c r="A182" s="3" t="s">
        <v>5651</v>
      </c>
      <c r="B182" s="3">
        <v>24.756343770679681</v>
      </c>
      <c r="C182" s="3">
        <v>20.523112364776392</v>
      </c>
      <c r="D182" s="3">
        <v>18.098490890326289</v>
      </c>
      <c r="E182" s="3">
        <v>19.76192450850553</v>
      </c>
      <c r="F182" s="3">
        <v>20.004948649077011</v>
      </c>
      <c r="G182" s="3">
        <v>19.182437489930201</v>
      </c>
      <c r="H182" s="3">
        <v>19.30405829010509</v>
      </c>
    </row>
    <row r="183" spans="1:8" x14ac:dyDescent="0.2">
      <c r="A183" s="3" t="s">
        <v>5652</v>
      </c>
      <c r="B183" s="3">
        <v>24.26526944090805</v>
      </c>
      <c r="C183" s="3">
        <v>19.72888552670597</v>
      </c>
      <c r="D183" s="3">
        <v>18.447991845599301</v>
      </c>
      <c r="E183" s="3">
        <v>19.694281766516429</v>
      </c>
      <c r="F183" s="3">
        <v>19.833816865874311</v>
      </c>
      <c r="G183" s="3">
        <v>14.86727643975183</v>
      </c>
      <c r="H183" s="3">
        <v>17.870047336120159</v>
      </c>
    </row>
    <row r="184" spans="1:8" x14ac:dyDescent="0.2">
      <c r="A184" s="3" t="s">
        <v>5653</v>
      </c>
      <c r="B184" s="3">
        <v>30.443505115022671</v>
      </c>
      <c r="C184" s="3">
        <v>24.329864622309881</v>
      </c>
      <c r="D184" s="3">
        <v>23.086186624917911</v>
      </c>
      <c r="E184" s="3">
        <v>21.855148103987791</v>
      </c>
      <c r="F184" s="3">
        <v>23.034406200713718</v>
      </c>
      <c r="G184" s="3">
        <v>21.251907737316412</v>
      </c>
      <c r="H184" s="3">
        <v>23.519127651300821</v>
      </c>
    </row>
    <row r="185" spans="1:8" x14ac:dyDescent="0.2">
      <c r="A185" s="3" t="s">
        <v>5654</v>
      </c>
      <c r="B185" s="3">
        <v>35.031929831409848</v>
      </c>
      <c r="C185" s="3">
        <v>28.408924865684192</v>
      </c>
      <c r="D185" s="3">
        <v>23.719703541554221</v>
      </c>
      <c r="E185" s="3">
        <v>25.221099800068899</v>
      </c>
      <c r="F185" s="3">
        <v>23.81646701275529</v>
      </c>
      <c r="G185" s="3">
        <v>22.71648569517934</v>
      </c>
      <c r="H185" s="3">
        <v>23.140261801468888</v>
      </c>
    </row>
    <row r="186" spans="1:8" x14ac:dyDescent="0.2">
      <c r="A186" s="3" t="s">
        <v>5655</v>
      </c>
      <c r="B186" s="3">
        <v>25.522781443846579</v>
      </c>
      <c r="C186" s="3">
        <v>21.804155403540779</v>
      </c>
      <c r="D186" s="3">
        <v>21.77207804358952</v>
      </c>
      <c r="E186" s="3">
        <v>20.590151562034599</v>
      </c>
      <c r="F186" s="3">
        <v>20.596745953066669</v>
      </c>
      <c r="G186" s="3">
        <v>18.5938023936733</v>
      </c>
      <c r="H186" s="3">
        <v>22.693648788566939</v>
      </c>
    </row>
    <row r="187" spans="1:8" x14ac:dyDescent="0.2">
      <c r="A187" s="3" t="s">
        <v>5656</v>
      </c>
      <c r="B187" s="3">
        <v>25.336153332236311</v>
      </c>
      <c r="C187" s="3">
        <v>20.996786315801192</v>
      </c>
      <c r="D187" s="3">
        <v>18.454824369625239</v>
      </c>
      <c r="E187" s="3">
        <v>20.845559777130141</v>
      </c>
      <c r="F187" s="3">
        <v>21.837170589130132</v>
      </c>
      <c r="G187" s="3">
        <v>20.621687305924979</v>
      </c>
      <c r="H187" s="3">
        <v>21.033810341831789</v>
      </c>
    </row>
    <row r="188" spans="1:8" x14ac:dyDescent="0.2">
      <c r="A188" s="3" t="s">
        <v>5662</v>
      </c>
      <c r="B188" s="3">
        <v>21.275253544279501</v>
      </c>
      <c r="C188" s="3">
        <v>16.644736129117948</v>
      </c>
      <c r="D188" s="3">
        <v>14.586980188574</v>
      </c>
      <c r="E188" s="3">
        <v>15.64162904559366</v>
      </c>
      <c r="F188" s="3">
        <v>15.347809788877541</v>
      </c>
      <c r="G188" s="3">
        <v>17.700339747523721</v>
      </c>
      <c r="H188" s="3">
        <v>14.28299045574008</v>
      </c>
    </row>
    <row r="189" spans="1:8" x14ac:dyDescent="0.2">
      <c r="A189" s="3" t="s">
        <v>5835</v>
      </c>
      <c r="B189" s="3">
        <v>26.580173205581879</v>
      </c>
      <c r="C189" s="3">
        <v>21.536005642158472</v>
      </c>
      <c r="D189" s="3">
        <v>18.854626242167981</v>
      </c>
      <c r="E189" s="3">
        <v>19.970411327580081</v>
      </c>
      <c r="F189" s="3">
        <v>20.174657549901571</v>
      </c>
      <c r="G189" s="3">
        <v>18.72662569749787</v>
      </c>
      <c r="H189" s="3">
        <v>19.64515174546392</v>
      </c>
    </row>
    <row r="191" spans="1:8" x14ac:dyDescent="0.2">
      <c r="A191" s="3" t="s">
        <v>5665</v>
      </c>
    </row>
    <row r="192" spans="1:8" s="2" customFormat="1" x14ac:dyDescent="0.2">
      <c r="A192" s="509" t="s">
        <v>5686</v>
      </c>
      <c r="B192" s="509" t="s">
        <v>5721</v>
      </c>
      <c r="C192" s="509" t="s">
        <v>5680</v>
      </c>
      <c r="D192" s="509" t="s">
        <v>5681</v>
      </c>
      <c r="E192" s="509" t="s">
        <v>5682</v>
      </c>
      <c r="F192" s="509" t="s">
        <v>5683</v>
      </c>
      <c r="G192" s="509" t="s">
        <v>5684</v>
      </c>
      <c r="H192" s="509" t="s">
        <v>5687</v>
      </c>
    </row>
    <row r="193" spans="1:8" x14ac:dyDescent="0.2">
      <c r="A193" s="3" t="s">
        <v>5666</v>
      </c>
      <c r="B193" s="3">
        <v>65.541081606618093</v>
      </c>
      <c r="C193" s="3">
        <v>47.015151022231272</v>
      </c>
      <c r="D193" s="3">
        <v>47.354405679431842</v>
      </c>
      <c r="E193" s="3">
        <v>47.295919324778389</v>
      </c>
      <c r="F193" s="3">
        <v>50.373772290305759</v>
      </c>
      <c r="G193" s="3">
        <v>44.351702820237072</v>
      </c>
      <c r="H193" s="3">
        <v>64.516375575238584</v>
      </c>
    </row>
    <row r="194" spans="1:8" x14ac:dyDescent="0.2">
      <c r="A194" s="3" t="s">
        <v>5667</v>
      </c>
      <c r="B194" s="3">
        <v>86.760401186104332</v>
      </c>
      <c r="C194" s="3">
        <v>77.079363472048982</v>
      </c>
      <c r="D194" s="3">
        <v>68.194165559098806</v>
      </c>
      <c r="E194" s="3">
        <v>70.736897124071461</v>
      </c>
      <c r="F194" s="3">
        <v>73.172266503897248</v>
      </c>
      <c r="G194" s="3">
        <v>66.755234613364465</v>
      </c>
      <c r="H194" s="3">
        <v>84.608263211827619</v>
      </c>
    </row>
    <row r="195" spans="1:8" x14ac:dyDescent="0.2">
      <c r="A195" s="3" t="s">
        <v>5668</v>
      </c>
      <c r="B195" s="3">
        <v>73.429263590995021</v>
      </c>
      <c r="C195" s="3">
        <v>52.110966270957569</v>
      </c>
      <c r="D195" s="3">
        <v>42.148599977623853</v>
      </c>
      <c r="E195" s="3">
        <v>45.772420006466099</v>
      </c>
      <c r="F195" s="3">
        <v>46.344538962786707</v>
      </c>
      <c r="G195" s="3">
        <v>44.203024730657162</v>
      </c>
      <c r="H195" s="3">
        <v>43.336526795791393</v>
      </c>
    </row>
    <row r="196" spans="1:8" x14ac:dyDescent="0.2">
      <c r="A196" s="3" t="s">
        <v>5669</v>
      </c>
      <c r="B196" s="3">
        <v>76.163359683630148</v>
      </c>
      <c r="C196" s="3">
        <v>62.141727338849812</v>
      </c>
      <c r="D196" s="3">
        <v>60.666102425090997</v>
      </c>
      <c r="E196" s="3">
        <v>61.820190246032773</v>
      </c>
      <c r="F196" s="3">
        <v>63.269732929070081</v>
      </c>
      <c r="G196" s="3">
        <v>42.748339982852812</v>
      </c>
      <c r="H196" s="3">
        <v>48.993756464785591</v>
      </c>
    </row>
    <row r="197" spans="1:8" x14ac:dyDescent="0.2">
      <c r="A197" s="3" t="s">
        <v>5670</v>
      </c>
      <c r="B197" s="3">
        <v>73.776940054163234</v>
      </c>
      <c r="C197" s="3">
        <v>73.313704816430089</v>
      </c>
      <c r="D197" s="3">
        <v>69.929379754035793</v>
      </c>
      <c r="E197" s="3">
        <v>69.89642025997766</v>
      </c>
      <c r="F197" s="3">
        <v>75.595832725034029</v>
      </c>
      <c r="G197" s="3">
        <v>63.468172305995282</v>
      </c>
      <c r="H197" s="3">
        <v>83.165600947516054</v>
      </c>
    </row>
    <row r="198" spans="1:8" x14ac:dyDescent="0.2">
      <c r="A198" s="3" t="s">
        <v>5671</v>
      </c>
      <c r="B198" s="3">
        <v>82.113424420907634</v>
      </c>
      <c r="C198" s="3">
        <v>67.064327311738197</v>
      </c>
      <c r="D198" s="3">
        <v>59.636753782434461</v>
      </c>
      <c r="E198" s="3">
        <v>67.198171818094096</v>
      </c>
      <c r="F198" s="3">
        <v>65.3293469901961</v>
      </c>
      <c r="G198" s="3">
        <v>55.742386960625133</v>
      </c>
      <c r="H198" s="3">
        <v>58.351487636208347</v>
      </c>
    </row>
    <row r="199" spans="1:8" x14ac:dyDescent="0.2">
      <c r="A199" s="3" t="s">
        <v>5672</v>
      </c>
      <c r="B199" s="3">
        <v>97.851773611765054</v>
      </c>
      <c r="C199" s="3">
        <v>97.014108684864922</v>
      </c>
      <c r="D199" s="3">
        <v>96.093406455064041</v>
      </c>
      <c r="E199" s="3">
        <v>99.484599142955872</v>
      </c>
      <c r="F199" s="3">
        <v>98.994268109075847</v>
      </c>
      <c r="G199" s="3">
        <v>100</v>
      </c>
      <c r="H199" s="3">
        <v>100</v>
      </c>
    </row>
    <row r="200" spans="1:8" x14ac:dyDescent="0.2">
      <c r="A200" s="3" t="s">
        <v>5673</v>
      </c>
      <c r="B200" s="3">
        <v>42.77540950175139</v>
      </c>
      <c r="C200" s="3">
        <v>27.055624872406788</v>
      </c>
      <c r="D200" s="3">
        <v>24.585941088075071</v>
      </c>
      <c r="E200" s="3">
        <v>19.658175032203079</v>
      </c>
      <c r="F200" s="3">
        <v>17.073865476765128</v>
      </c>
      <c r="G200" s="3">
        <v>21.374957845059662</v>
      </c>
      <c r="H200" s="3">
        <v>17.141483503563709</v>
      </c>
    </row>
    <row r="201" spans="1:8" x14ac:dyDescent="0.2">
      <c r="A201" s="3" t="s">
        <v>5674</v>
      </c>
      <c r="B201" s="3">
        <v>83.529249589400393</v>
      </c>
      <c r="C201" s="3">
        <v>71.079578842775533</v>
      </c>
      <c r="D201" s="3">
        <v>67.237757373031855</v>
      </c>
      <c r="E201" s="3">
        <v>69.849118403466932</v>
      </c>
      <c r="F201" s="3">
        <v>70.643782599558065</v>
      </c>
      <c r="G201" s="3">
        <v>65.597336737755441</v>
      </c>
      <c r="H201" s="3">
        <v>76.258304551074772</v>
      </c>
    </row>
    <row r="202" spans="1:8" x14ac:dyDescent="0.2">
      <c r="A202" s="3" t="s">
        <v>5675</v>
      </c>
      <c r="B202" s="3">
        <v>67.959680222361357</v>
      </c>
      <c r="C202" s="3">
        <v>53.099139813908998</v>
      </c>
      <c r="D202" s="3">
        <v>49.408353537381693</v>
      </c>
      <c r="E202" s="3">
        <v>52.116947450041167</v>
      </c>
      <c r="F202" s="3">
        <v>54.902740139262733</v>
      </c>
      <c r="G202" s="3">
        <v>37.485236440496983</v>
      </c>
      <c r="H202" s="3">
        <v>53.233251873889238</v>
      </c>
    </row>
    <row r="203" spans="1:8" x14ac:dyDescent="0.2">
      <c r="A203" s="3" t="s">
        <v>5676</v>
      </c>
      <c r="B203" s="3">
        <v>90.404941897977409</v>
      </c>
      <c r="C203" s="3">
        <v>79.640691743043277</v>
      </c>
      <c r="D203" s="3">
        <v>76.276104653499061</v>
      </c>
      <c r="E203" s="3">
        <v>75.365399951987698</v>
      </c>
      <c r="F203" s="3">
        <v>75.57551808911046</v>
      </c>
      <c r="G203" s="3">
        <v>76.45875294009322</v>
      </c>
      <c r="H203" s="3">
        <v>76.855117169896687</v>
      </c>
    </row>
    <row r="204" spans="1:8" x14ac:dyDescent="0.2">
      <c r="A204" s="3" t="s">
        <v>5677</v>
      </c>
      <c r="B204" s="3">
        <v>92.737407172649355</v>
      </c>
      <c r="C204" s="3">
        <v>82.811013526204903</v>
      </c>
      <c r="D204" s="3">
        <v>73.090265905503315</v>
      </c>
      <c r="E204" s="3">
        <v>78.508869987770993</v>
      </c>
      <c r="F204" s="3">
        <v>78.508570581382557</v>
      </c>
      <c r="G204" s="3">
        <v>71.730030345099266</v>
      </c>
      <c r="H204" s="3">
        <v>77.089425689325822</v>
      </c>
    </row>
    <row r="205" spans="1:8" x14ac:dyDescent="0.2">
      <c r="A205" s="3" t="s">
        <v>5678</v>
      </c>
      <c r="B205" s="3">
        <v>77.064206151191698</v>
      </c>
      <c r="C205" s="3">
        <v>65.351044903901396</v>
      </c>
      <c r="D205" s="3">
        <v>66.47508327584525</v>
      </c>
      <c r="E205" s="3">
        <v>63.56005211847441</v>
      </c>
      <c r="F205" s="3">
        <v>61.457031780120992</v>
      </c>
      <c r="G205" s="3">
        <v>47.555486751583203</v>
      </c>
      <c r="H205" s="3">
        <v>59.480228816569898</v>
      </c>
    </row>
    <row r="206" spans="1:8" x14ac:dyDescent="0.2">
      <c r="A206" s="3" t="s">
        <v>5679</v>
      </c>
      <c r="B206" s="3">
        <v>83.12455787889796</v>
      </c>
      <c r="C206" s="3">
        <v>73.20700124608247</v>
      </c>
      <c r="D206" s="3">
        <v>68.284925797627707</v>
      </c>
      <c r="E206" s="3">
        <v>73.146725537915017</v>
      </c>
      <c r="F206" s="3">
        <v>78.604363799174138</v>
      </c>
      <c r="G206" s="3">
        <v>70.19174292871385</v>
      </c>
      <c r="H206" s="3">
        <v>80.366586444048338</v>
      </c>
    </row>
    <row r="207" spans="1:8" x14ac:dyDescent="0.2">
      <c r="A207" s="3" t="s">
        <v>5685</v>
      </c>
      <c r="B207" s="3">
        <v>72.236340779084657</v>
      </c>
      <c r="C207" s="3">
        <v>56.453380351831392</v>
      </c>
      <c r="D207" s="3">
        <v>49.691618576519573</v>
      </c>
      <c r="E207" s="3">
        <v>53.647913951254949</v>
      </c>
      <c r="F207" s="3">
        <v>56.148300198395248</v>
      </c>
      <c r="G207" s="3">
        <v>53.846765072478611</v>
      </c>
      <c r="H207" s="3">
        <v>47.988113916540762</v>
      </c>
    </row>
    <row r="208" spans="1:8" x14ac:dyDescent="0.2">
      <c r="A208" s="3" t="s">
        <v>5835</v>
      </c>
      <c r="B208" s="3">
        <v>81.295078343413437</v>
      </c>
      <c r="C208" s="3">
        <v>68.359673088502518</v>
      </c>
      <c r="D208" s="3">
        <v>61.840933537708921</v>
      </c>
      <c r="E208" s="3">
        <v>65.129794109103898</v>
      </c>
      <c r="F208" s="3">
        <v>67.274148982726132</v>
      </c>
      <c r="G208" s="3">
        <v>60.559850581109536</v>
      </c>
      <c r="H208" s="3">
        <v>64.675517941689421</v>
      </c>
    </row>
    <row r="210" spans="1:8" x14ac:dyDescent="0.2">
      <c r="A210" s="3" t="s">
        <v>5688</v>
      </c>
    </row>
    <row r="211" spans="1:8" s="2" customFormat="1" x14ac:dyDescent="0.2">
      <c r="A211" s="509" t="s">
        <v>5709</v>
      </c>
      <c r="B211" s="509" t="s">
        <v>5722</v>
      </c>
      <c r="C211" s="509" t="s">
        <v>5703</v>
      </c>
      <c r="D211" s="509" t="s">
        <v>5704</v>
      </c>
      <c r="E211" s="509" t="s">
        <v>5705</v>
      </c>
      <c r="F211" s="509" t="s">
        <v>5706</v>
      </c>
      <c r="G211" s="509" t="s">
        <v>5707</v>
      </c>
      <c r="H211" s="509" t="s">
        <v>5710</v>
      </c>
    </row>
    <row r="212" spans="1:8" x14ac:dyDescent="0.2">
      <c r="A212" s="3" t="s">
        <v>5689</v>
      </c>
      <c r="B212" s="3">
        <v>88.540255315070027</v>
      </c>
      <c r="C212" s="3">
        <v>93.335237969546867</v>
      </c>
      <c r="D212" s="3">
        <v>95.869910620977265</v>
      </c>
      <c r="E212" s="3">
        <v>95.665418247144302</v>
      </c>
      <c r="F212" s="3">
        <v>97.025301573848481</v>
      </c>
      <c r="G212" s="3">
        <v>97.452413997535416</v>
      </c>
      <c r="H212" s="3">
        <v>93.225655909661128</v>
      </c>
    </row>
    <row r="213" spans="1:8" x14ac:dyDescent="0.2">
      <c r="A213" s="3" t="s">
        <v>5690</v>
      </c>
      <c r="B213" s="3">
        <v>83.495633078185278</v>
      </c>
      <c r="C213" s="3">
        <v>92.141020296070522</v>
      </c>
      <c r="D213" s="3">
        <v>96.275346655172783</v>
      </c>
      <c r="E213" s="3">
        <v>94.539046114283636</v>
      </c>
      <c r="F213" s="3">
        <v>95.544102787302876</v>
      </c>
      <c r="G213" s="3">
        <v>94.818593437059249</v>
      </c>
      <c r="H213" s="3">
        <v>98.241253268338937</v>
      </c>
    </row>
    <row r="214" spans="1:8" x14ac:dyDescent="0.2">
      <c r="A214" s="3" t="s">
        <v>5691</v>
      </c>
      <c r="B214" s="3">
        <v>88.162517800964963</v>
      </c>
      <c r="C214" s="3">
        <v>93.878921571602106</v>
      </c>
      <c r="D214" s="3">
        <v>95.182196539656331</v>
      </c>
      <c r="E214" s="3">
        <v>95.975442034930964</v>
      </c>
      <c r="F214" s="3">
        <v>96.342083608643463</v>
      </c>
      <c r="G214" s="3">
        <v>95.862751068596083</v>
      </c>
      <c r="H214" s="3">
        <v>97.234682991521893</v>
      </c>
    </row>
    <row r="215" spans="1:8" x14ac:dyDescent="0.2">
      <c r="A215" s="3" t="s">
        <v>5692</v>
      </c>
      <c r="B215" s="3">
        <v>87.563336704034825</v>
      </c>
      <c r="C215" s="3">
        <v>92.253185872364426</v>
      </c>
      <c r="D215" s="3">
        <v>94.130054493251691</v>
      </c>
      <c r="E215" s="3">
        <v>92.23133595259381</v>
      </c>
      <c r="F215" s="3">
        <v>91.258610449430435</v>
      </c>
      <c r="G215" s="3">
        <v>90.245327738730069</v>
      </c>
      <c r="H215" s="3">
        <v>96.173674892613789</v>
      </c>
    </row>
    <row r="216" spans="1:8" x14ac:dyDescent="0.2">
      <c r="A216" s="3" t="s">
        <v>5693</v>
      </c>
      <c r="B216" s="3">
        <v>84.63837455324628</v>
      </c>
      <c r="C216" s="3">
        <v>91.049492395434626</v>
      </c>
      <c r="D216" s="3">
        <v>90.763815019351043</v>
      </c>
      <c r="E216" s="3">
        <v>91.190264458253807</v>
      </c>
      <c r="F216" s="3">
        <v>92.158880877810347</v>
      </c>
      <c r="G216" s="3">
        <v>94.557557226580542</v>
      </c>
      <c r="H216" s="3">
        <v>95.096128632925428</v>
      </c>
    </row>
    <row r="217" spans="1:8" x14ac:dyDescent="0.2">
      <c r="A217" s="3" t="s">
        <v>5694</v>
      </c>
      <c r="B217" s="3">
        <v>69.72168802133713</v>
      </c>
      <c r="C217" s="3">
        <v>82.670638225318456</v>
      </c>
      <c r="D217" s="3">
        <v>89.726813064175218</v>
      </c>
      <c r="E217" s="3">
        <v>87.690777825637468</v>
      </c>
      <c r="F217" s="3">
        <v>87.608212385219815</v>
      </c>
      <c r="G217" s="3">
        <v>92.343498962767214</v>
      </c>
      <c r="H217" s="3">
        <v>90.540289789913587</v>
      </c>
    </row>
    <row r="218" spans="1:8" x14ac:dyDescent="0.2">
      <c r="A218" s="3" t="s">
        <v>5695</v>
      </c>
      <c r="B218" s="3">
        <v>23.889500431081789</v>
      </c>
      <c r="C218" s="3">
        <v>33.320950757647843</v>
      </c>
      <c r="D218" s="3">
        <v>51.367023230994398</v>
      </c>
      <c r="E218" s="3">
        <v>45.876965529268467</v>
      </c>
      <c r="F218" s="3">
        <v>52.330922733890922</v>
      </c>
      <c r="G218" s="3">
        <v>40.04740222192634</v>
      </c>
      <c r="H218" s="3">
        <v>36.313729446686693</v>
      </c>
    </row>
    <row r="219" spans="1:8" x14ac:dyDescent="0.2">
      <c r="A219" s="3" t="s">
        <v>5696</v>
      </c>
      <c r="B219" s="3">
        <v>98.879244087836696</v>
      </c>
      <c r="C219" s="3">
        <v>99.259994889469823</v>
      </c>
      <c r="D219" s="3">
        <v>98.729219950350739</v>
      </c>
      <c r="E219" s="3">
        <v>99.683881251698764</v>
      </c>
      <c r="F219" s="3">
        <v>99.539824030818878</v>
      </c>
      <c r="G219" s="3">
        <v>100</v>
      </c>
      <c r="H219" s="3">
        <v>93.78574519722369</v>
      </c>
    </row>
    <row r="220" spans="1:8" x14ac:dyDescent="0.2">
      <c r="A220" s="3" t="s">
        <v>5697</v>
      </c>
      <c r="B220" s="3">
        <v>81.372921498803052</v>
      </c>
      <c r="C220" s="3">
        <v>93.425123358566466</v>
      </c>
      <c r="D220" s="3">
        <v>96.746643790896982</v>
      </c>
      <c r="E220" s="3">
        <v>94.364443168050272</v>
      </c>
      <c r="F220" s="3">
        <v>95.426132864758159</v>
      </c>
      <c r="G220" s="3">
        <v>92.533625132594992</v>
      </c>
      <c r="H220" s="3">
        <v>93.912743692815312</v>
      </c>
    </row>
    <row r="221" spans="1:8" x14ac:dyDescent="0.2">
      <c r="A221" s="3" t="s">
        <v>5698</v>
      </c>
      <c r="B221" s="3">
        <v>93.881336285684057</v>
      </c>
      <c r="C221" s="3">
        <v>95.740206065723839</v>
      </c>
      <c r="D221" s="3">
        <v>97.284680784872933</v>
      </c>
      <c r="E221" s="3">
        <v>95.295364289719217</v>
      </c>
      <c r="F221" s="3">
        <v>98.275220063058157</v>
      </c>
      <c r="G221" s="3">
        <v>96.588966272050016</v>
      </c>
      <c r="H221" s="3">
        <v>96.523261755326317</v>
      </c>
    </row>
    <row r="222" spans="1:8" x14ac:dyDescent="0.2">
      <c r="A222" s="3" t="s">
        <v>5699</v>
      </c>
      <c r="B222" s="3">
        <v>68.047575578158913</v>
      </c>
      <c r="C222" s="3">
        <v>80.401029855365493</v>
      </c>
      <c r="D222" s="3">
        <v>82.323422118753342</v>
      </c>
      <c r="E222" s="3">
        <v>86.996907107839874</v>
      </c>
      <c r="F222" s="3">
        <v>85.972524857823288</v>
      </c>
      <c r="G222" s="3">
        <v>86.387463500187565</v>
      </c>
      <c r="H222" s="3">
        <v>90.534025859666997</v>
      </c>
    </row>
    <row r="223" spans="1:8" x14ac:dyDescent="0.2">
      <c r="A223" s="3" t="s">
        <v>5700</v>
      </c>
      <c r="B223" s="3">
        <v>46.647841540044809</v>
      </c>
      <c r="C223" s="3">
        <v>68.634590031907877</v>
      </c>
      <c r="D223" s="3">
        <v>85.455105023815932</v>
      </c>
      <c r="E223" s="3">
        <v>80.784976464496054</v>
      </c>
      <c r="F223" s="3">
        <v>85.348703123215344</v>
      </c>
      <c r="G223" s="3">
        <v>82.545162172739168</v>
      </c>
      <c r="H223" s="3">
        <v>81.286928625317671</v>
      </c>
    </row>
    <row r="224" spans="1:8" x14ac:dyDescent="0.2">
      <c r="A224" s="3" t="s">
        <v>5701</v>
      </c>
      <c r="B224" s="3">
        <v>84.888271395514721</v>
      </c>
      <c r="C224" s="3">
        <v>89.659766926410754</v>
      </c>
      <c r="D224" s="3">
        <v>90.084230160933927</v>
      </c>
      <c r="E224" s="3">
        <v>93.396408734572816</v>
      </c>
      <c r="F224" s="3">
        <v>92.214807431646136</v>
      </c>
      <c r="G224" s="3">
        <v>98.090222716858918</v>
      </c>
      <c r="H224" s="3">
        <v>90.190920149421416</v>
      </c>
    </row>
    <row r="225" spans="1:8" x14ac:dyDescent="0.2">
      <c r="A225" s="3" t="s">
        <v>5702</v>
      </c>
      <c r="B225" s="3">
        <v>85.026685905816663</v>
      </c>
      <c r="C225" s="3">
        <v>94.122805968599991</v>
      </c>
      <c r="D225" s="3">
        <v>94.660120646068307</v>
      </c>
      <c r="E225" s="3">
        <v>93.228011124499247</v>
      </c>
      <c r="F225" s="3">
        <v>93.404054395467995</v>
      </c>
      <c r="G225" s="3">
        <v>94.423537127756177</v>
      </c>
      <c r="H225" s="3">
        <v>91.489500789468238</v>
      </c>
    </row>
    <row r="226" spans="1:8" x14ac:dyDescent="0.2">
      <c r="A226" s="3" t="s">
        <v>5708</v>
      </c>
      <c r="B226" s="3">
        <v>94.710288343642986</v>
      </c>
      <c r="C226" s="3">
        <v>96.648530079613195</v>
      </c>
      <c r="D226" s="3">
        <v>96.964672738682097</v>
      </c>
      <c r="E226" s="3">
        <v>97.599128985997879</v>
      </c>
      <c r="F226" s="3">
        <v>98.505378379108521</v>
      </c>
      <c r="G226" s="3">
        <v>97.810624843363186</v>
      </c>
      <c r="H226" s="3">
        <v>98.316709828680956</v>
      </c>
    </row>
    <row r="227" spans="1:8" x14ac:dyDescent="0.2">
      <c r="A227" s="3" t="s">
        <v>5835</v>
      </c>
      <c r="B227" s="3">
        <v>74.224203730439029</v>
      </c>
      <c r="C227" s="3">
        <v>86.585701940787118</v>
      </c>
      <c r="D227" s="3">
        <v>92.072225763852529</v>
      </c>
      <c r="E227" s="3">
        <v>90.761358072095348</v>
      </c>
      <c r="F227" s="3">
        <v>92.1367793419669</v>
      </c>
      <c r="G227" s="3">
        <v>91.761736930476744</v>
      </c>
      <c r="H227" s="3">
        <v>91.127619943305064</v>
      </c>
    </row>
  </sheetData>
  <pageMargins left="0.7" right="0.7" top="0.75" bottom="0.75" header="0.3" footer="0.3"/>
  <pageSetup orientation="portrait" r:id="rId1"/>
  <tableParts count="12">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132"/>
  <sheetViews>
    <sheetView tabSelected="1" zoomScaleNormal="100" workbookViewId="0">
      <selection activeCell="D14" sqref="D14"/>
    </sheetView>
  </sheetViews>
  <sheetFormatPr baseColWidth="10" defaultColWidth="8.83203125" defaultRowHeight="15" x14ac:dyDescent="0.2"/>
  <cols>
    <col min="1" max="1" width="9.33203125" style="296" customWidth="1"/>
    <col min="2" max="5" width="15.83203125" style="4" customWidth="1"/>
    <col min="6" max="6" width="8.83203125" style="4"/>
    <col min="7" max="7" width="15.83203125" style="296" customWidth="1"/>
    <col min="8" max="14" width="15.83203125" style="4" customWidth="1"/>
    <col min="15" max="15" width="8.83203125" style="4"/>
    <col min="16" max="16" width="15.83203125" style="296" customWidth="1"/>
    <col min="17" max="20" width="15.83203125" style="4" customWidth="1"/>
    <col min="21" max="16384" width="8.83203125" style="4"/>
  </cols>
  <sheetData>
    <row r="1" spans="1:20" x14ac:dyDescent="0.2">
      <c r="A1" s="296" t="s">
        <v>0</v>
      </c>
      <c r="G1" s="296" t="s">
        <v>104</v>
      </c>
      <c r="P1" s="296" t="s">
        <v>223</v>
      </c>
    </row>
    <row r="2" spans="1:20" s="3" customFormat="1" x14ac:dyDescent="0.2">
      <c r="A2" s="5118" t="s">
        <v>1</v>
      </c>
      <c r="B2" s="5119" t="s">
        <v>2</v>
      </c>
      <c r="C2" s="5120" t="s">
        <v>3</v>
      </c>
      <c r="D2" s="5121" t="s">
        <v>4</v>
      </c>
      <c r="E2" s="5122" t="s">
        <v>5</v>
      </c>
      <c r="G2" s="5123" t="s">
        <v>105</v>
      </c>
      <c r="H2" s="5124" t="s">
        <v>106</v>
      </c>
      <c r="I2" s="5125" t="s">
        <v>107</v>
      </c>
      <c r="J2" s="5126" t="s">
        <v>108</v>
      </c>
      <c r="K2" s="5127" t="s">
        <v>109</v>
      </c>
      <c r="L2" s="5128" t="s">
        <v>208</v>
      </c>
      <c r="M2" s="5129" t="s">
        <v>209</v>
      </c>
      <c r="N2" s="5130" t="s">
        <v>210</v>
      </c>
      <c r="P2" s="5131" t="s">
        <v>224</v>
      </c>
      <c r="Q2" s="5132" t="s">
        <v>225</v>
      </c>
      <c r="R2" s="5133" t="s">
        <v>226</v>
      </c>
      <c r="S2" s="5134" t="s">
        <v>227</v>
      </c>
      <c r="T2" s="5135" t="s">
        <v>228</v>
      </c>
    </row>
    <row r="3" spans="1:20" x14ac:dyDescent="0.2">
      <c r="A3" s="296" t="s">
        <v>6</v>
      </c>
      <c r="B3" s="4">
        <v>91.90680740267571</v>
      </c>
      <c r="C3" s="4">
        <v>79.27759104962405</v>
      </c>
      <c r="D3" s="4">
        <v>-12.629216353051758</v>
      </c>
      <c r="E3" s="510" t="str">
        <f t="shared" ref="E3:E8" si="0">IF(       0&lt;0.01,"***",IF(       0&lt;0.05,"**",IF(       0&lt;0.1,"*","NS")))</f>
        <v>***</v>
      </c>
      <c r="G3" s="296" t="s">
        <v>110</v>
      </c>
      <c r="H3" s="4">
        <v>91.90680740267571</v>
      </c>
      <c r="I3" s="4">
        <v>83.34264382838451</v>
      </c>
      <c r="J3" s="4">
        <v>-8.5641635742911912</v>
      </c>
      <c r="K3" s="511" t="str">
        <f>IF(       0&lt;0.01,"***",IF(       0&lt;0.05,"**",IF(       0&lt;0.1,"*","NS")))</f>
        <v>***</v>
      </c>
      <c r="L3" s="4">
        <v>63.420358388395712</v>
      </c>
      <c r="M3" s="4">
        <v>-28.486449014280122</v>
      </c>
      <c r="N3" s="512" t="str">
        <f t="shared" ref="N3:N8" si="1">IF(       0&lt;0.01,"***",IF(       0&lt;0.05,"**",IF(       0&lt;0.1,"*","NS")))</f>
        <v>***</v>
      </c>
      <c r="P3" s="296" t="s">
        <v>229</v>
      </c>
      <c r="Q3" s="4">
        <v>88.84047682903973</v>
      </c>
      <c r="R3" s="4">
        <v>63.420358388395712</v>
      </c>
      <c r="S3" s="4">
        <v>-25.420118440644341</v>
      </c>
      <c r="T3" s="513" t="str">
        <f t="shared" ref="T3:T8" si="2">IF(       0&lt;0.01,"***",IF(       0&lt;0.05,"**",IF(       0&lt;0.1,"*","NS")))</f>
        <v>***</v>
      </c>
    </row>
    <row r="4" spans="1:20" x14ac:dyDescent="0.2">
      <c r="A4" s="296" t="s">
        <v>7</v>
      </c>
      <c r="B4" s="4">
        <v>92.684998329459518</v>
      </c>
      <c r="C4" s="4">
        <v>71.837967091050629</v>
      </c>
      <c r="D4" s="4">
        <v>-20.84703123840843</v>
      </c>
      <c r="E4" s="514" t="str">
        <f t="shared" si="0"/>
        <v>***</v>
      </c>
      <c r="G4" s="296" t="s">
        <v>111</v>
      </c>
      <c r="H4" s="4">
        <v>92.684998329459518</v>
      </c>
      <c r="I4" s="4">
        <v>76.249437115103319</v>
      </c>
      <c r="J4" s="4">
        <v>-16.435561214356387</v>
      </c>
      <c r="K4" s="515" t="str">
        <f>IF(       0&lt;0.01,"***",IF(       0&lt;0.05,"**",IF(       0&lt;0.1,"*","NS")))</f>
        <v>***</v>
      </c>
      <c r="L4" s="4">
        <v>60.274087591275908</v>
      </c>
      <c r="M4" s="4">
        <v>-32.410910738183631</v>
      </c>
      <c r="N4" s="516" t="str">
        <f t="shared" si="1"/>
        <v>***</v>
      </c>
      <c r="P4" s="296" t="s">
        <v>230</v>
      </c>
      <c r="Q4" s="4">
        <v>87.952332984686535</v>
      </c>
      <c r="R4" s="4">
        <v>60.274087591275908</v>
      </c>
      <c r="S4" s="4">
        <v>-27.678245393411249</v>
      </c>
      <c r="T4" s="517" t="str">
        <f t="shared" si="2"/>
        <v>***</v>
      </c>
    </row>
    <row r="5" spans="1:20" x14ac:dyDescent="0.2">
      <c r="A5" s="296" t="s">
        <v>8</v>
      </c>
      <c r="B5" s="4">
        <v>94.275374397927436</v>
      </c>
      <c r="C5" s="4">
        <v>79.168055873469299</v>
      </c>
      <c r="D5" s="4">
        <v>-15.107318524458034</v>
      </c>
      <c r="E5" s="518" t="str">
        <f t="shared" si="0"/>
        <v>***</v>
      </c>
      <c r="G5" s="296" t="s">
        <v>112</v>
      </c>
      <c r="H5" s="4">
        <v>94.275374397927436</v>
      </c>
      <c r="I5" s="4">
        <v>84.298892544888815</v>
      </c>
      <c r="J5" s="4">
        <v>-9.9764818530386776</v>
      </c>
      <c r="K5" s="519" t="str">
        <f>IF(       0&lt;0.01,"***",IF(       0&lt;0.05,"**",IF(       0&lt;0.1,"*","NS")))</f>
        <v>***</v>
      </c>
      <c r="L5" s="4">
        <v>63.706571905813433</v>
      </c>
      <c r="M5" s="4">
        <v>-30.568802492113619</v>
      </c>
      <c r="N5" s="520" t="str">
        <f t="shared" si="1"/>
        <v>***</v>
      </c>
      <c r="P5" s="296" t="s">
        <v>231</v>
      </c>
      <c r="Q5" s="4">
        <v>91.913058486506927</v>
      </c>
      <c r="R5" s="4">
        <v>63.706571905813433</v>
      </c>
      <c r="S5" s="4">
        <v>-28.206486580693138</v>
      </c>
      <c r="T5" s="521" t="str">
        <f t="shared" si="2"/>
        <v>***</v>
      </c>
    </row>
    <row r="6" spans="1:20" x14ac:dyDescent="0.2">
      <c r="A6" s="296" t="s">
        <v>9</v>
      </c>
      <c r="B6" s="4">
        <v>92.003521099567536</v>
      </c>
      <c r="C6" s="4">
        <v>78.443515621371319</v>
      </c>
      <c r="D6" s="4">
        <v>-13.560005478195986</v>
      </c>
      <c r="E6" s="522" t="str">
        <f t="shared" si="0"/>
        <v>***</v>
      </c>
      <c r="G6" s="296" t="s">
        <v>113</v>
      </c>
      <c r="H6" s="4">
        <v>92.003521099567536</v>
      </c>
      <c r="I6" s="4">
        <v>82.302214672267112</v>
      </c>
      <c r="J6" s="4">
        <v>-9.7013064273003984</v>
      </c>
      <c r="K6" s="523" t="str">
        <f>IF(       0&lt;0.01,"***",IF(       0&lt;0.05,"**",IF(       0&lt;0.1,"*","NS")))</f>
        <v>***</v>
      </c>
      <c r="L6" s="4">
        <v>63.838585210462767</v>
      </c>
      <c r="M6" s="4">
        <v>-28.164935889105394</v>
      </c>
      <c r="N6" s="524" t="str">
        <f t="shared" si="1"/>
        <v>***</v>
      </c>
      <c r="P6" s="296" t="s">
        <v>232</v>
      </c>
      <c r="Q6" s="4">
        <v>89.162799206114968</v>
      </c>
      <c r="R6" s="4">
        <v>63.838585210462767</v>
      </c>
      <c r="S6" s="4">
        <v>-25.324213995652087</v>
      </c>
      <c r="T6" s="525" t="str">
        <f t="shared" si="2"/>
        <v>***</v>
      </c>
    </row>
    <row r="7" spans="1:20" x14ac:dyDescent="0.2">
      <c r="A7" s="296" t="s">
        <v>10</v>
      </c>
      <c r="B7" s="4">
        <v>88.452709507902426</v>
      </c>
      <c r="C7" s="4">
        <v>78.212944142415921</v>
      </c>
      <c r="D7" s="4">
        <v>-10.239765365486891</v>
      </c>
      <c r="E7" s="526" t="str">
        <f t="shared" si="0"/>
        <v>***</v>
      </c>
      <c r="G7" s="296" t="s">
        <v>114</v>
      </c>
      <c r="H7" s="4">
        <v>88.452709507902426</v>
      </c>
      <c r="I7" s="4">
        <v>81.072377358815345</v>
      </c>
      <c r="J7" s="4">
        <v>-7.3803321490870246</v>
      </c>
      <c r="K7" s="527" t="str">
        <f>IF(       0.002&lt;0.01,"***",IF(       0.002&lt;0.05,"**",IF(       0.002&lt;0.1,"*","NS")))</f>
        <v>***</v>
      </c>
      <c r="L7" s="4">
        <v>64.675646014178184</v>
      </c>
      <c r="M7" s="4">
        <v>-23.777063493724281</v>
      </c>
      <c r="N7" s="528" t="str">
        <f t="shared" si="1"/>
        <v>***</v>
      </c>
      <c r="P7" s="296" t="s">
        <v>233</v>
      </c>
      <c r="Q7" s="4">
        <v>86.502915042342977</v>
      </c>
      <c r="R7" s="4">
        <v>64.675646014178184</v>
      </c>
      <c r="S7" s="4">
        <v>-21.82726902816546</v>
      </c>
      <c r="T7" s="529" t="str">
        <f t="shared" si="2"/>
        <v>***</v>
      </c>
    </row>
    <row r="8" spans="1:20" x14ac:dyDescent="0.2">
      <c r="A8" s="296" t="s">
        <v>11</v>
      </c>
      <c r="B8" s="4">
        <v>91.614561728565647</v>
      </c>
      <c r="C8" s="4">
        <v>75.694201583217506</v>
      </c>
      <c r="D8" s="4">
        <v>-15.920360145348164</v>
      </c>
      <c r="E8" s="530" t="str">
        <f t="shared" si="0"/>
        <v>***</v>
      </c>
      <c r="G8" s="296" t="s">
        <v>115</v>
      </c>
      <c r="H8" s="4">
        <v>91.614561728565647</v>
      </c>
      <c r="I8" s="4">
        <v>80.00107531095945</v>
      </c>
      <c r="J8" s="4">
        <v>-11.613486417606314</v>
      </c>
      <c r="K8" s="531" t="str">
        <f>IF(       0&lt;0.01,"***",IF(       0&lt;0.05,"**",IF(       0&lt;0.1,"*","NS")))</f>
        <v>***</v>
      </c>
      <c r="L8" s="4">
        <v>62.1676010946357</v>
      </c>
      <c r="M8" s="4">
        <v>-29.446960633930448</v>
      </c>
      <c r="N8" s="532" t="str">
        <f t="shared" si="1"/>
        <v>***</v>
      </c>
      <c r="P8" s="296" t="s">
        <v>234</v>
      </c>
      <c r="Q8" s="4">
        <v>88.362116347191929</v>
      </c>
      <c r="R8" s="4">
        <v>62.1676010946357</v>
      </c>
      <c r="S8" s="4">
        <v>-26.194515252555952</v>
      </c>
      <c r="T8" s="533" t="str">
        <f t="shared" si="2"/>
        <v>***</v>
      </c>
    </row>
    <row r="9" spans="1:20" x14ac:dyDescent="0.2">
      <c r="A9" s="296" t="s">
        <v>12</v>
      </c>
      <c r="B9" s="4">
        <v>96.442769192272067</v>
      </c>
      <c r="C9" s="4">
        <v>92.643791735190632</v>
      </c>
      <c r="D9" s="4">
        <v>-3.7989774570813748</v>
      </c>
      <c r="E9" s="534" t="str">
        <f>IF(       0.012&lt;0.01,"***",IF(       0.012&lt;0.05,"**",IF(       0.012&lt;0.1,"*","NS")))</f>
        <v>**</v>
      </c>
      <c r="G9" s="296" t="s">
        <v>116</v>
      </c>
      <c r="H9" s="4">
        <v>96.442769192272067</v>
      </c>
      <c r="I9" s="4">
        <v>92.530832765044423</v>
      </c>
      <c r="J9" s="4">
        <v>-3.9119364272275479</v>
      </c>
      <c r="K9" s="535" t="str">
        <f>IF(       0.016&lt;0.01,"***",IF(       0.016&lt;0.05,"**",IF(       0.016&lt;0.1,"*","NS")))</f>
        <v>**</v>
      </c>
      <c r="L9" s="4">
        <v>93.167044123859597</v>
      </c>
      <c r="M9" s="4">
        <v>-3.2757250684124877</v>
      </c>
      <c r="N9" s="536" t="str">
        <f>IF(       0.219&lt;0.01,"***",IF(       0.219&lt;0.05,"**",IF(       0.219&lt;0.1,"*","NS")))</f>
        <v>NS</v>
      </c>
      <c r="P9" s="296" t="s">
        <v>235</v>
      </c>
      <c r="Q9" s="4">
        <v>95.862733573237023</v>
      </c>
      <c r="R9" s="4">
        <v>93.167044123859597</v>
      </c>
      <c r="S9" s="4">
        <v>-2.6956894493774928</v>
      </c>
      <c r="T9" s="537" t="str">
        <f>IF(       0.303&lt;0.01,"***",IF(       0.303&lt;0.05,"**",IF(       0.303&lt;0.1,"*","NS")))</f>
        <v>NS</v>
      </c>
    </row>
    <row r="10" spans="1:20" x14ac:dyDescent="0.2">
      <c r="A10" s="296" t="s">
        <v>13</v>
      </c>
      <c r="B10" s="4">
        <v>36.584550076043762</v>
      </c>
      <c r="C10" s="4">
        <v>25.277450653382481</v>
      </c>
      <c r="D10" s="4">
        <v>-11.307099422661304</v>
      </c>
      <c r="E10" s="538" t="str">
        <f t="shared" ref="E10:E18" si="3">IF(       0&lt;0.01,"***",IF(       0&lt;0.05,"**",IF(       0&lt;0.1,"*","NS")))</f>
        <v>***</v>
      </c>
      <c r="G10" s="296" t="s">
        <v>117</v>
      </c>
      <c r="H10" s="4">
        <v>36.584550076043762</v>
      </c>
      <c r="I10" s="4">
        <v>28.03671373837377</v>
      </c>
      <c r="J10" s="4">
        <v>-8.5478363376700077</v>
      </c>
      <c r="K10" s="539" t="str">
        <f>IF(       0.005&lt;0.01,"***",IF(       0.005&lt;0.05,"**",IF(       0.005&lt;0.1,"*","NS")))</f>
        <v>***</v>
      </c>
      <c r="L10" s="4">
        <v>16.248747446930562</v>
      </c>
      <c r="M10" s="4">
        <v>-20.335802629113285</v>
      </c>
      <c r="N10" s="540" t="str">
        <f>IF(       0.002&lt;0.01,"***",IF(       0.002&lt;0.05,"**",IF(       0.002&lt;0.1,"*","NS")))</f>
        <v>***</v>
      </c>
      <c r="P10" s="296" t="s">
        <v>236</v>
      </c>
      <c r="Q10" s="4">
        <v>35.002192054928187</v>
      </c>
      <c r="R10" s="4">
        <v>16.248747446930562</v>
      </c>
      <c r="S10" s="4">
        <v>-18.753444607997778</v>
      </c>
      <c r="T10" s="541" t="str">
        <f>IF(       0.003&lt;0.01,"***",IF(       0.003&lt;0.05,"**",IF(       0.003&lt;0.1,"*","NS")))</f>
        <v>***</v>
      </c>
    </row>
    <row r="11" spans="1:20" x14ac:dyDescent="0.2">
      <c r="A11" s="296" t="s">
        <v>14</v>
      </c>
      <c r="B11" s="4">
        <v>91.685061996966738</v>
      </c>
      <c r="C11" s="4">
        <v>72.677666154765959</v>
      </c>
      <c r="D11" s="4">
        <v>-19.007395842200612</v>
      </c>
      <c r="E11" s="542" t="str">
        <f t="shared" si="3"/>
        <v>***</v>
      </c>
      <c r="G11" s="296" t="s">
        <v>118</v>
      </c>
      <c r="H11" s="4">
        <v>91.685061996966738</v>
      </c>
      <c r="I11" s="4">
        <v>79.875029191369592</v>
      </c>
      <c r="J11" s="4">
        <v>-11.810032805597327</v>
      </c>
      <c r="K11" s="543" t="str">
        <f t="shared" ref="K11:K18" si="4">IF(       0&lt;0.01,"***",IF(       0&lt;0.05,"**",IF(       0&lt;0.1,"*","NS")))</f>
        <v>***</v>
      </c>
      <c r="L11" s="4">
        <v>61.185480727618632</v>
      </c>
      <c r="M11" s="4">
        <v>-30.49958126934785</v>
      </c>
      <c r="N11" s="544" t="str">
        <f t="shared" ref="N11:N18" si="5">IF(       0&lt;0.01,"***",IF(       0&lt;0.05,"**",IF(       0&lt;0.1,"*","NS")))</f>
        <v>***</v>
      </c>
      <c r="P11" s="296" t="s">
        <v>237</v>
      </c>
      <c r="Q11" s="4">
        <v>87.671838983821615</v>
      </c>
      <c r="R11" s="4">
        <v>61.185480727618632</v>
      </c>
      <c r="S11" s="4">
        <v>-26.486358256203431</v>
      </c>
      <c r="T11" s="545" t="str">
        <f t="shared" ref="T11:T18" si="6">IF(       0&lt;0.01,"***",IF(       0&lt;0.05,"**",IF(       0&lt;0.1,"*","NS")))</f>
        <v>***</v>
      </c>
    </row>
    <row r="12" spans="1:20" x14ac:dyDescent="0.2">
      <c r="A12" s="296" t="s">
        <v>15</v>
      </c>
      <c r="B12" s="4">
        <v>92.932872152314417</v>
      </c>
      <c r="C12" s="4">
        <v>77.536589008067097</v>
      </c>
      <c r="D12" s="4">
        <v>-15.396283144247388</v>
      </c>
      <c r="E12" s="546" t="str">
        <f t="shared" si="3"/>
        <v>***</v>
      </c>
      <c r="G12" s="296" t="s">
        <v>119</v>
      </c>
      <c r="H12" s="4">
        <v>92.932872152314417</v>
      </c>
      <c r="I12" s="4">
        <v>82.802851998910853</v>
      </c>
      <c r="J12" s="4">
        <v>-10.130020153403573</v>
      </c>
      <c r="K12" s="547" t="str">
        <f t="shared" si="4"/>
        <v>***</v>
      </c>
      <c r="L12" s="4">
        <v>60.421081235889908</v>
      </c>
      <c r="M12" s="4">
        <v>-32.511790916424793</v>
      </c>
      <c r="N12" s="548" t="str">
        <f t="shared" si="5"/>
        <v>***</v>
      </c>
      <c r="P12" s="296" t="s">
        <v>238</v>
      </c>
      <c r="Q12" s="4">
        <v>89.023229902344738</v>
      </c>
      <c r="R12" s="4">
        <v>60.421081235889908</v>
      </c>
      <c r="S12" s="4">
        <v>-28.602148666455275</v>
      </c>
      <c r="T12" s="549" t="str">
        <f t="shared" si="6"/>
        <v>***</v>
      </c>
    </row>
    <row r="13" spans="1:20" x14ac:dyDescent="0.2">
      <c r="A13" s="296" t="s">
        <v>16</v>
      </c>
      <c r="B13" s="4">
        <v>92.971574899486313</v>
      </c>
      <c r="C13" s="4">
        <v>78.944680028052488</v>
      </c>
      <c r="D13" s="4">
        <v>-14.026894871433822</v>
      </c>
      <c r="E13" s="550" t="str">
        <f t="shared" si="3"/>
        <v>***</v>
      </c>
      <c r="G13" s="296" t="s">
        <v>120</v>
      </c>
      <c r="H13" s="4">
        <v>92.971574899486313</v>
      </c>
      <c r="I13" s="4">
        <v>80.620402680187013</v>
      </c>
      <c r="J13" s="4">
        <v>-12.351172219298979</v>
      </c>
      <c r="K13" s="551" t="str">
        <f t="shared" si="4"/>
        <v>***</v>
      </c>
      <c r="L13" s="4">
        <v>74.415553376819148</v>
      </c>
      <c r="M13" s="4">
        <v>-18.556021522667312</v>
      </c>
      <c r="N13" s="552" t="str">
        <f t="shared" si="5"/>
        <v>***</v>
      </c>
      <c r="P13" s="296" t="s">
        <v>239</v>
      </c>
      <c r="Q13" s="4">
        <v>90.016216391894744</v>
      </c>
      <c r="R13" s="4">
        <v>74.415553376819148</v>
      </c>
      <c r="S13" s="4">
        <v>-15.600663015075543</v>
      </c>
      <c r="T13" s="553" t="str">
        <f t="shared" si="6"/>
        <v>***</v>
      </c>
    </row>
    <row r="14" spans="1:20" x14ac:dyDescent="0.2">
      <c r="A14" s="296" t="s">
        <v>17</v>
      </c>
      <c r="B14" s="4">
        <v>95.639508373938696</v>
      </c>
      <c r="C14" s="4">
        <v>81.915656905710819</v>
      </c>
      <c r="D14" s="4">
        <v>-13.723851468228084</v>
      </c>
      <c r="E14" s="554" t="str">
        <f t="shared" si="3"/>
        <v>***</v>
      </c>
      <c r="G14" s="296" t="s">
        <v>121</v>
      </c>
      <c r="H14" s="4">
        <v>95.639508373938696</v>
      </c>
      <c r="I14" s="4">
        <v>85.663479282115546</v>
      </c>
      <c r="J14" s="4">
        <v>-9.9760290918229853</v>
      </c>
      <c r="K14" s="555" t="str">
        <f t="shared" si="4"/>
        <v>***</v>
      </c>
      <c r="L14" s="4">
        <v>70.874336533040875</v>
      </c>
      <c r="M14" s="4">
        <v>-24.765171840898127</v>
      </c>
      <c r="N14" s="556" t="str">
        <f t="shared" si="5"/>
        <v>***</v>
      </c>
      <c r="P14" s="296" t="s">
        <v>240</v>
      </c>
      <c r="Q14" s="4">
        <v>93.474595777211974</v>
      </c>
      <c r="R14" s="4">
        <v>70.874336533040875</v>
      </c>
      <c r="S14" s="4">
        <v>-22.600259244171269</v>
      </c>
      <c r="T14" s="557" t="str">
        <f t="shared" si="6"/>
        <v>***</v>
      </c>
    </row>
    <row r="15" spans="1:20" x14ac:dyDescent="0.2">
      <c r="A15" s="296" t="s">
        <v>18</v>
      </c>
      <c r="B15" s="4">
        <v>93.353731845944608</v>
      </c>
      <c r="C15" s="4">
        <v>78.007137558791953</v>
      </c>
      <c r="D15" s="4">
        <v>-15.346594287152472</v>
      </c>
      <c r="E15" s="558" t="str">
        <f t="shared" si="3"/>
        <v>***</v>
      </c>
      <c r="G15" s="296" t="s">
        <v>122</v>
      </c>
      <c r="H15" s="4">
        <v>93.353731845944608</v>
      </c>
      <c r="I15" s="4">
        <v>81.900589095173586</v>
      </c>
      <c r="J15" s="4">
        <v>-11.453142750771081</v>
      </c>
      <c r="K15" s="559" t="str">
        <f t="shared" si="4"/>
        <v>***</v>
      </c>
      <c r="L15" s="4">
        <v>66.071792184615816</v>
      </c>
      <c r="M15" s="4">
        <v>-27.281939661329012</v>
      </c>
      <c r="N15" s="560" t="str">
        <f t="shared" si="5"/>
        <v>***</v>
      </c>
      <c r="P15" s="296" t="s">
        <v>241</v>
      </c>
      <c r="Q15" s="4">
        <v>90.776902286996517</v>
      </c>
      <c r="R15" s="4">
        <v>66.071792184615816</v>
      </c>
      <c r="S15" s="4">
        <v>-24.705110102380605</v>
      </c>
      <c r="T15" s="561" t="str">
        <f t="shared" si="6"/>
        <v>***</v>
      </c>
    </row>
    <row r="16" spans="1:20" x14ac:dyDescent="0.2">
      <c r="A16" s="296" t="s">
        <v>19</v>
      </c>
      <c r="B16" s="4">
        <v>90.099920875822136</v>
      </c>
      <c r="C16" s="4">
        <v>74.329886101248817</v>
      </c>
      <c r="D16" s="4">
        <v>-15.770034774573118</v>
      </c>
      <c r="E16" s="562" t="str">
        <f t="shared" si="3"/>
        <v>***</v>
      </c>
      <c r="G16" s="296" t="s">
        <v>123</v>
      </c>
      <c r="H16" s="4">
        <v>90.099920875822136</v>
      </c>
      <c r="I16" s="4">
        <v>79.714401295094234</v>
      </c>
      <c r="J16" s="4">
        <v>-10.385519580727944</v>
      </c>
      <c r="K16" s="563" t="str">
        <f t="shared" si="4"/>
        <v>***</v>
      </c>
      <c r="L16" s="4">
        <v>62.410807263024601</v>
      </c>
      <c r="M16" s="4">
        <v>-27.68911361279779</v>
      </c>
      <c r="N16" s="564" t="str">
        <f t="shared" si="5"/>
        <v>***</v>
      </c>
      <c r="P16" s="296" t="s">
        <v>242</v>
      </c>
      <c r="Q16" s="4">
        <v>86.673466184674524</v>
      </c>
      <c r="R16" s="4">
        <v>62.410807263024601</v>
      </c>
      <c r="S16" s="4">
        <v>-24.262658921649958</v>
      </c>
      <c r="T16" s="565" t="str">
        <f t="shared" si="6"/>
        <v>***</v>
      </c>
    </row>
    <row r="17" spans="1:20" x14ac:dyDescent="0.2">
      <c r="A17" s="296" t="s">
        <v>20</v>
      </c>
      <c r="B17" s="4">
        <v>89.751093873500224</v>
      </c>
      <c r="C17" s="4">
        <v>74.151779126389314</v>
      </c>
      <c r="D17" s="4">
        <v>-15.599314747111162</v>
      </c>
      <c r="E17" s="566" t="str">
        <f t="shared" si="3"/>
        <v>***</v>
      </c>
      <c r="G17" s="296" t="s">
        <v>124</v>
      </c>
      <c r="H17" s="4">
        <v>89.751093873500224</v>
      </c>
      <c r="I17" s="4">
        <v>76.886986743108437</v>
      </c>
      <c r="J17" s="4">
        <v>-12.864107130391746</v>
      </c>
      <c r="K17" s="567" t="str">
        <f t="shared" si="4"/>
        <v>***</v>
      </c>
      <c r="L17" s="4">
        <v>65.496788770472705</v>
      </c>
      <c r="M17" s="4">
        <v>-24.254305103027203</v>
      </c>
      <c r="N17" s="568" t="str">
        <f t="shared" si="5"/>
        <v>***</v>
      </c>
      <c r="P17" s="296" t="s">
        <v>243</v>
      </c>
      <c r="Q17" s="4">
        <v>86.407181958431778</v>
      </c>
      <c r="R17" s="4">
        <v>65.496788770472705</v>
      </c>
      <c r="S17" s="4">
        <v>-20.910393187959151</v>
      </c>
      <c r="T17" s="569" t="str">
        <f t="shared" si="6"/>
        <v>***</v>
      </c>
    </row>
    <row r="18" spans="1:20" x14ac:dyDescent="0.2">
      <c r="A18" s="296" t="s">
        <v>5835</v>
      </c>
      <c r="B18" s="4">
        <v>91.240295233392004</v>
      </c>
      <c r="C18" s="4">
        <v>76.554315205720926</v>
      </c>
      <c r="D18" s="4">
        <v>-14.685980027670741</v>
      </c>
      <c r="E18" s="570" t="str">
        <f t="shared" si="3"/>
        <v>***</v>
      </c>
      <c r="G18" s="296" t="s">
        <v>5835</v>
      </c>
      <c r="H18" s="4">
        <v>91.240295233392004</v>
      </c>
      <c r="I18" s="4">
        <v>80.600277116399667</v>
      </c>
      <c r="J18" s="4">
        <v>-10.640018116992367</v>
      </c>
      <c r="K18" s="571" t="str">
        <f t="shared" si="4"/>
        <v>***</v>
      </c>
      <c r="L18" s="4">
        <v>64.664245108190144</v>
      </c>
      <c r="M18" s="4">
        <v>-26.576050125200524</v>
      </c>
      <c r="N18" s="572" t="str">
        <f t="shared" si="5"/>
        <v>***</v>
      </c>
      <c r="P18" s="296" t="s">
        <v>5835</v>
      </c>
      <c r="Q18" s="4">
        <v>88.398167248036458</v>
      </c>
      <c r="R18" s="4">
        <v>64.664245108190144</v>
      </c>
      <c r="S18" s="4">
        <v>-23.733922139846076</v>
      </c>
      <c r="T18" s="573" t="str">
        <f t="shared" si="6"/>
        <v>***</v>
      </c>
    </row>
    <row r="20" spans="1:20" x14ac:dyDescent="0.2">
      <c r="A20" s="296" t="s">
        <v>21</v>
      </c>
      <c r="G20" s="296" t="s">
        <v>125</v>
      </c>
      <c r="P20" s="296" t="s">
        <v>244</v>
      </c>
    </row>
    <row r="21" spans="1:20" s="3" customFormat="1" x14ac:dyDescent="0.2">
      <c r="A21" s="5136" t="s">
        <v>22</v>
      </c>
      <c r="B21" s="5137" t="s">
        <v>23</v>
      </c>
      <c r="C21" s="5138" t="s">
        <v>24</v>
      </c>
      <c r="D21" s="5139" t="s">
        <v>25</v>
      </c>
      <c r="E21" s="5140" t="s">
        <v>26</v>
      </c>
      <c r="G21" s="5141" t="s">
        <v>126</v>
      </c>
      <c r="H21" s="5142" t="s">
        <v>127</v>
      </c>
      <c r="I21" s="5143" t="s">
        <v>128</v>
      </c>
      <c r="J21" s="5144" t="s">
        <v>129</v>
      </c>
      <c r="K21" s="5145" t="s">
        <v>130</v>
      </c>
      <c r="L21" s="5146" t="s">
        <v>211</v>
      </c>
      <c r="M21" s="5147" t="s">
        <v>212</v>
      </c>
      <c r="N21" s="5148" t="s">
        <v>213</v>
      </c>
      <c r="P21" s="5149" t="s">
        <v>245</v>
      </c>
      <c r="Q21" s="5150" t="s">
        <v>246</v>
      </c>
      <c r="R21" s="5151" t="s">
        <v>247</v>
      </c>
      <c r="S21" s="5152" t="s">
        <v>248</v>
      </c>
      <c r="T21" s="5153" t="s">
        <v>249</v>
      </c>
    </row>
    <row r="22" spans="1:20" x14ac:dyDescent="0.2">
      <c r="A22" s="296" t="s">
        <v>27</v>
      </c>
      <c r="B22" s="4">
        <v>86.341982352565722</v>
      </c>
      <c r="C22" s="4">
        <v>69.148981578603255</v>
      </c>
      <c r="D22" s="4">
        <v>-17.193000773962343</v>
      </c>
      <c r="E22" s="574" t="str">
        <f t="shared" ref="E22:E27" si="7">IF(       0&lt;0.01,"***",IF(       0&lt;0.05,"**",IF(       0&lt;0.1,"*","NS")))</f>
        <v>***</v>
      </c>
      <c r="G22" s="296" t="s">
        <v>131</v>
      </c>
      <c r="H22" s="4">
        <v>86.341982352565722</v>
      </c>
      <c r="I22" s="4">
        <v>73.951857253510937</v>
      </c>
      <c r="J22" s="4">
        <v>-12.390125099054746</v>
      </c>
      <c r="K22" s="575" t="str">
        <f>IF(       0&lt;0.01,"***",IF(       0&lt;0.05,"**",IF(       0&lt;0.1,"*","NS")))</f>
        <v>***</v>
      </c>
      <c r="L22" s="4">
        <v>52.6229140916234</v>
      </c>
      <c r="M22" s="4">
        <v>-33.719068260942215</v>
      </c>
      <c r="N22" s="576" t="str">
        <f t="shared" ref="N22:N27" si="8">IF(       0&lt;0.01,"***",IF(       0&lt;0.05,"**",IF(       0&lt;0.1,"*","NS")))</f>
        <v>***</v>
      </c>
      <c r="P22" s="296" t="s">
        <v>250</v>
      </c>
      <c r="Q22" s="4">
        <v>81.685701082752644</v>
      </c>
      <c r="R22" s="4">
        <v>52.6229140916234</v>
      </c>
      <c r="S22" s="4">
        <v>-29.062786991129176</v>
      </c>
      <c r="T22" s="577" t="str">
        <f t="shared" ref="T22:T27" si="9">IF(       0&lt;0.01,"***",IF(       0&lt;0.05,"**",IF(       0&lt;0.1,"*","NS")))</f>
        <v>***</v>
      </c>
    </row>
    <row r="23" spans="1:20" x14ac:dyDescent="0.2">
      <c r="A23" s="296" t="s">
        <v>28</v>
      </c>
      <c r="B23" s="4">
        <v>90.562997110481859</v>
      </c>
      <c r="C23" s="4">
        <v>64.487471012574602</v>
      </c>
      <c r="D23" s="4">
        <v>-26.075526097907272</v>
      </c>
      <c r="E23" s="578" t="str">
        <f t="shared" si="7"/>
        <v>***</v>
      </c>
      <c r="G23" s="296" t="s">
        <v>132</v>
      </c>
      <c r="H23" s="4">
        <v>90.562997110481859</v>
      </c>
      <c r="I23" s="4">
        <v>69.977470431252655</v>
      </c>
      <c r="J23" s="4">
        <v>-20.585526679229247</v>
      </c>
      <c r="K23" s="579" t="str">
        <f>IF(       0&lt;0.01,"***",IF(       0&lt;0.05,"**",IF(       0&lt;0.1,"*","NS")))</f>
        <v>***</v>
      </c>
      <c r="L23" s="4">
        <v>50.353411333179558</v>
      </c>
      <c r="M23" s="4">
        <v>-40.209585777302365</v>
      </c>
      <c r="N23" s="580" t="str">
        <f t="shared" si="8"/>
        <v>***</v>
      </c>
      <c r="P23" s="296" t="s">
        <v>251</v>
      </c>
      <c r="Q23" s="4">
        <v>83.72735747330492</v>
      </c>
      <c r="R23" s="4">
        <v>50.353411333179558</v>
      </c>
      <c r="S23" s="4">
        <v>-33.373946140125639</v>
      </c>
      <c r="T23" s="581" t="str">
        <f t="shared" si="9"/>
        <v>***</v>
      </c>
    </row>
    <row r="24" spans="1:20" x14ac:dyDescent="0.2">
      <c r="A24" s="296" t="s">
        <v>29</v>
      </c>
      <c r="B24" s="4">
        <v>92.116588415417539</v>
      </c>
      <c r="C24" s="4">
        <v>67.138928734053991</v>
      </c>
      <c r="D24" s="4">
        <v>-24.977659681363669</v>
      </c>
      <c r="E24" s="582" t="str">
        <f t="shared" si="7"/>
        <v>***</v>
      </c>
      <c r="G24" s="296" t="s">
        <v>133</v>
      </c>
      <c r="H24" s="4">
        <v>92.116588415417539</v>
      </c>
      <c r="I24" s="4">
        <v>75.171345157291157</v>
      </c>
      <c r="J24" s="4">
        <v>-16.945243258126514</v>
      </c>
      <c r="K24" s="583" t="str">
        <f>IF(       0&lt;0.01,"***",IF(       0&lt;0.05,"**",IF(       0&lt;0.1,"*","NS")))</f>
        <v>***</v>
      </c>
      <c r="L24" s="4">
        <v>45.667598671385853</v>
      </c>
      <c r="M24" s="4">
        <v>-46.448989744031856</v>
      </c>
      <c r="N24" s="584" t="str">
        <f t="shared" si="8"/>
        <v>***</v>
      </c>
      <c r="P24" s="296" t="s">
        <v>252</v>
      </c>
      <c r="Q24" s="4">
        <v>88.111544133855716</v>
      </c>
      <c r="R24" s="4">
        <v>45.667598671385853</v>
      </c>
      <c r="S24" s="4">
        <v>-42.443945462469635</v>
      </c>
      <c r="T24" s="585" t="str">
        <f t="shared" si="9"/>
        <v>***</v>
      </c>
    </row>
    <row r="25" spans="1:20" x14ac:dyDescent="0.2">
      <c r="A25" s="296" t="s">
        <v>30</v>
      </c>
      <c r="B25" s="4">
        <v>88.366680270054445</v>
      </c>
      <c r="C25" s="4">
        <v>70.337680162037316</v>
      </c>
      <c r="D25" s="4">
        <v>-18.029000108016952</v>
      </c>
      <c r="E25" s="586" t="str">
        <f t="shared" si="7"/>
        <v>***</v>
      </c>
      <c r="G25" s="296" t="s">
        <v>134</v>
      </c>
      <c r="H25" s="4">
        <v>88.366680270054445</v>
      </c>
      <c r="I25" s="4">
        <v>75.141728078611564</v>
      </c>
      <c r="J25" s="4">
        <v>-13.224952191442746</v>
      </c>
      <c r="K25" s="587" t="str">
        <f>IF(       0&lt;0.01,"***",IF(       0&lt;0.05,"**",IF(       0&lt;0.1,"*","NS")))</f>
        <v>***</v>
      </c>
      <c r="L25" s="4">
        <v>53.444562350528408</v>
      </c>
      <c r="M25" s="4">
        <v>-34.922117919525853</v>
      </c>
      <c r="N25" s="588" t="str">
        <f t="shared" si="8"/>
        <v>***</v>
      </c>
      <c r="P25" s="296" t="s">
        <v>253</v>
      </c>
      <c r="Q25" s="4">
        <v>84.336976397097871</v>
      </c>
      <c r="R25" s="4">
        <v>53.444562350528408</v>
      </c>
      <c r="S25" s="4">
        <v>-30.892414046569435</v>
      </c>
      <c r="T25" s="589" t="str">
        <f t="shared" si="9"/>
        <v>***</v>
      </c>
    </row>
    <row r="26" spans="1:20" x14ac:dyDescent="0.2">
      <c r="A26" s="296" t="s">
        <v>31</v>
      </c>
      <c r="B26" s="4">
        <v>84.200657407129029</v>
      </c>
      <c r="C26" s="4">
        <v>69.92893580372025</v>
      </c>
      <c r="D26" s="4">
        <v>-14.271721603408759</v>
      </c>
      <c r="E26" s="590" t="str">
        <f t="shared" si="7"/>
        <v>***</v>
      </c>
      <c r="G26" s="296" t="s">
        <v>135</v>
      </c>
      <c r="H26" s="4">
        <v>84.200657407129029</v>
      </c>
      <c r="I26" s="4">
        <v>73.948540875221951</v>
      </c>
      <c r="J26" s="4">
        <v>-10.252116531907124</v>
      </c>
      <c r="K26" s="591" t="str">
        <f>IF(       0.003&lt;0.01,"***",IF(       0.003&lt;0.05,"**",IF(       0.003&lt;0.1,"*","NS")))</f>
        <v>***</v>
      </c>
      <c r="L26" s="4">
        <v>52.148049181902699</v>
      </c>
      <c r="M26" s="4">
        <v>-32.052608225226123</v>
      </c>
      <c r="N26" s="592" t="str">
        <f t="shared" si="8"/>
        <v>***</v>
      </c>
      <c r="P26" s="296" t="s">
        <v>254</v>
      </c>
      <c r="Q26" s="4">
        <v>81.458067535226249</v>
      </c>
      <c r="R26" s="4">
        <v>52.148049181902699</v>
      </c>
      <c r="S26" s="4">
        <v>-29.310018353323265</v>
      </c>
      <c r="T26" s="593" t="str">
        <f t="shared" si="9"/>
        <v>***</v>
      </c>
    </row>
    <row r="27" spans="1:20" x14ac:dyDescent="0.2">
      <c r="A27" s="296" t="s">
        <v>32</v>
      </c>
      <c r="B27" s="4">
        <v>89.067936982462157</v>
      </c>
      <c r="C27" s="4">
        <v>64.983687235058312</v>
      </c>
      <c r="D27" s="4">
        <v>-24.084249747403966</v>
      </c>
      <c r="E27" s="594" t="str">
        <f t="shared" si="7"/>
        <v>***</v>
      </c>
      <c r="G27" s="296" t="s">
        <v>136</v>
      </c>
      <c r="H27" s="4">
        <v>89.067936982462157</v>
      </c>
      <c r="I27" s="4">
        <v>70.508159594293431</v>
      </c>
      <c r="J27" s="4">
        <v>-18.559777388168662</v>
      </c>
      <c r="K27" s="595" t="str">
        <f>IF(       0&lt;0.01,"***",IF(       0&lt;0.05,"**",IF(       0&lt;0.1,"*","NS")))</f>
        <v>***</v>
      </c>
      <c r="L27" s="4">
        <v>48.950227633126786</v>
      </c>
      <c r="M27" s="4">
        <v>-40.117709349335193</v>
      </c>
      <c r="N27" s="596" t="str">
        <f t="shared" si="8"/>
        <v>***</v>
      </c>
      <c r="P27" s="296" t="s">
        <v>255</v>
      </c>
      <c r="Q27" s="4">
        <v>83.685881118887281</v>
      </c>
      <c r="R27" s="4">
        <v>48.950227633126786</v>
      </c>
      <c r="S27" s="4">
        <v>-34.735653485760274</v>
      </c>
      <c r="T27" s="597" t="str">
        <f t="shared" si="9"/>
        <v>***</v>
      </c>
    </row>
    <row r="28" spans="1:20" x14ac:dyDescent="0.2">
      <c r="A28" s="296" t="s">
        <v>33</v>
      </c>
      <c r="B28" s="4">
        <v>95.361217584599515</v>
      </c>
      <c r="C28" s="4">
        <v>91.182491948183326</v>
      </c>
      <c r="D28" s="4">
        <v>-4.1787256364161971</v>
      </c>
      <c r="E28" s="598" t="str">
        <f>IF(       0.085&lt;0.01,"***",IF(       0.085&lt;0.05,"**",IF(       0.085&lt;0.1,"*","NS")))</f>
        <v>*</v>
      </c>
      <c r="G28" s="296" t="s">
        <v>137</v>
      </c>
      <c r="H28" s="4">
        <v>95.361217584599515</v>
      </c>
      <c r="I28" s="4">
        <v>90.435153933650994</v>
      </c>
      <c r="J28" s="4">
        <v>-4.9260636509484987</v>
      </c>
      <c r="K28" s="599" t="str">
        <f>IF(       0.063&lt;0.01,"***",IF(       0.063&lt;0.05,"**",IF(       0.063&lt;0.1,"*","NS")))</f>
        <v>*</v>
      </c>
      <c r="L28" s="4">
        <v>94.384594398400282</v>
      </c>
      <c r="M28" s="4">
        <v>-0.97662318619923427</v>
      </c>
      <c r="N28" s="600" t="str">
        <f>IF(       0.746&lt;0.01,"***",IF(       0.746&lt;0.05,"**",IF(       0.746&lt;0.1,"*","NS")))</f>
        <v>NS</v>
      </c>
      <c r="P28" s="296" t="s">
        <v>256</v>
      </c>
      <c r="Q28" s="4">
        <v>94.584351368418609</v>
      </c>
      <c r="R28" s="4">
        <v>94.384594398400282</v>
      </c>
      <c r="S28" s="4">
        <v>-0.19975697001832829</v>
      </c>
      <c r="T28" s="601" t="str">
        <f>IF(       0.944&lt;0.01,"***",IF(       0.944&lt;0.05,"**",IF(       0.944&lt;0.1,"*","NS")))</f>
        <v>NS</v>
      </c>
    </row>
    <row r="29" spans="1:20" x14ac:dyDescent="0.2">
      <c r="A29" s="296" t="s">
        <v>34</v>
      </c>
      <c r="B29" s="4">
        <v>29.250875784312178</v>
      </c>
      <c r="C29" s="4">
        <v>16.117073120097679</v>
      </c>
      <c r="D29" s="4">
        <v>-13.133802664214533</v>
      </c>
      <c r="E29" s="602" t="str">
        <f>IF(       0.007&lt;0.01,"***",IF(       0.007&lt;0.05,"**",IF(       0.007&lt;0.1,"*","NS")))</f>
        <v>***</v>
      </c>
      <c r="G29" s="296" t="s">
        <v>138</v>
      </c>
      <c r="H29" s="4">
        <v>29.250875784312178</v>
      </c>
      <c r="I29" s="4">
        <v>18.350809665646661</v>
      </c>
      <c r="J29" s="4">
        <v>-10.90006611866551</v>
      </c>
      <c r="K29" s="603" t="str">
        <f>IF(       0.021&lt;0.01,"***",IF(       0.021&lt;0.05,"**",IF(       0.021&lt;0.1,"*","NS")))</f>
        <v>**</v>
      </c>
      <c r="L29" s="4">
        <v>8.313819197862875</v>
      </c>
      <c r="M29" s="4">
        <v>-20.937056586449387</v>
      </c>
      <c r="N29" s="604" t="str">
        <f>IF(       0.002&lt;0.01,"***",IF(       0.002&lt;0.05,"**",IF(       0.002&lt;0.1,"*","NS")))</f>
        <v>***</v>
      </c>
      <c r="P29" s="296" t="s">
        <v>257</v>
      </c>
      <c r="Q29" s="4">
        <v>27.00288586639704</v>
      </c>
      <c r="R29" s="4">
        <v>8.313819197862875</v>
      </c>
      <c r="S29" s="4">
        <v>-18.689066668534114</v>
      </c>
      <c r="T29" s="605" t="str">
        <f>IF(       0.002&lt;0.01,"***",IF(       0.002&lt;0.05,"**",IF(       0.002&lt;0.1,"*","NS")))</f>
        <v>***</v>
      </c>
    </row>
    <row r="30" spans="1:20" x14ac:dyDescent="0.2">
      <c r="A30" s="296" t="s">
        <v>35</v>
      </c>
      <c r="B30" s="4">
        <v>89.988779180479128</v>
      </c>
      <c r="C30" s="4">
        <v>63.876318020757722</v>
      </c>
      <c r="D30" s="4">
        <v>-26.112461159721452</v>
      </c>
      <c r="E30" s="606" t="str">
        <f t="shared" ref="E30:E37" si="10">IF(       0&lt;0.01,"***",IF(       0&lt;0.05,"**",IF(       0&lt;0.1,"*","NS")))</f>
        <v>***</v>
      </c>
      <c r="G30" s="296" t="s">
        <v>139</v>
      </c>
      <c r="H30" s="4">
        <v>89.988779180479128</v>
      </c>
      <c r="I30" s="4">
        <v>72.11602998918211</v>
      </c>
      <c r="J30" s="4">
        <v>-17.87274919129694</v>
      </c>
      <c r="K30" s="607" t="str">
        <f t="shared" ref="K30:K37" si="11">IF(       0&lt;0.01,"***",IF(       0&lt;0.05,"**",IF(       0&lt;0.1,"*","NS")))</f>
        <v>***</v>
      </c>
      <c r="L30" s="4">
        <v>51.56325674547125</v>
      </c>
      <c r="M30" s="4">
        <v>-38.425522435007792</v>
      </c>
      <c r="N30" s="608" t="str">
        <f t="shared" ref="N30:N37" si="12">IF(       0&lt;0.01,"***",IF(       0&lt;0.05,"**",IF(       0&lt;0.1,"*","NS")))</f>
        <v>***</v>
      </c>
      <c r="P30" s="296" t="s">
        <v>258</v>
      </c>
      <c r="Q30" s="4">
        <v>83.23354660986692</v>
      </c>
      <c r="R30" s="4">
        <v>51.56325674547125</v>
      </c>
      <c r="S30" s="4">
        <v>-31.670289864395521</v>
      </c>
      <c r="T30" s="609" t="str">
        <f t="shared" ref="T30:T37" si="13">IF(       0&lt;0.01,"***",IF(       0&lt;0.05,"**",IF(       0&lt;0.1,"*","NS")))</f>
        <v>***</v>
      </c>
    </row>
    <row r="31" spans="1:20" x14ac:dyDescent="0.2">
      <c r="A31" s="296" t="s">
        <v>36</v>
      </c>
      <c r="B31" s="4">
        <v>88.99786668506384</v>
      </c>
      <c r="C31" s="4">
        <v>64.76559798931406</v>
      </c>
      <c r="D31" s="4">
        <v>-24.232268695749809</v>
      </c>
      <c r="E31" s="610" t="str">
        <f t="shared" si="10"/>
        <v>***</v>
      </c>
      <c r="G31" s="296" t="s">
        <v>140</v>
      </c>
      <c r="H31" s="4">
        <v>88.99786668506384</v>
      </c>
      <c r="I31" s="4">
        <v>73.074098075614245</v>
      </c>
      <c r="J31" s="4">
        <v>-15.92376860944948</v>
      </c>
      <c r="K31" s="611" t="str">
        <f t="shared" si="11"/>
        <v>***</v>
      </c>
      <c r="L31" s="4">
        <v>37.622089595346701</v>
      </c>
      <c r="M31" s="4">
        <v>-51.375777089717147</v>
      </c>
      <c r="N31" s="612" t="str">
        <f t="shared" si="12"/>
        <v>***</v>
      </c>
      <c r="P31" s="296" t="s">
        <v>259</v>
      </c>
      <c r="Q31" s="4">
        <v>82.526567929683466</v>
      </c>
      <c r="R31" s="4">
        <v>37.622089595346701</v>
      </c>
      <c r="S31" s="4">
        <v>-44.904478334336844</v>
      </c>
      <c r="T31" s="613" t="str">
        <f t="shared" si="13"/>
        <v>***</v>
      </c>
    </row>
    <row r="32" spans="1:20" x14ac:dyDescent="0.2">
      <c r="A32" s="296" t="s">
        <v>37</v>
      </c>
      <c r="B32" s="4">
        <v>92.320785398383393</v>
      </c>
      <c r="C32" s="4">
        <v>71.912344723260176</v>
      </c>
      <c r="D32" s="4">
        <v>-20.408440675123394</v>
      </c>
      <c r="E32" s="614" t="str">
        <f t="shared" si="10"/>
        <v>***</v>
      </c>
      <c r="G32" s="296" t="s">
        <v>141</v>
      </c>
      <c r="H32" s="4">
        <v>92.320785398383393</v>
      </c>
      <c r="I32" s="4">
        <v>73.483781040658741</v>
      </c>
      <c r="J32" s="4">
        <v>-18.837004357724609</v>
      </c>
      <c r="K32" s="615" t="str">
        <f t="shared" si="11"/>
        <v>***</v>
      </c>
      <c r="L32" s="4">
        <v>67.839460683003907</v>
      </c>
      <c r="M32" s="4">
        <v>-24.481324715379351</v>
      </c>
      <c r="N32" s="616" t="str">
        <f t="shared" si="12"/>
        <v>***</v>
      </c>
      <c r="P32" s="296" t="s">
        <v>260</v>
      </c>
      <c r="Q32" s="4">
        <v>87.390140648006906</v>
      </c>
      <c r="R32" s="4">
        <v>67.839460683003907</v>
      </c>
      <c r="S32" s="4">
        <v>-19.550679965002743</v>
      </c>
      <c r="T32" s="617" t="str">
        <f t="shared" si="13"/>
        <v>***</v>
      </c>
    </row>
    <row r="33" spans="1:20" x14ac:dyDescent="0.2">
      <c r="A33" s="296" t="s">
        <v>38</v>
      </c>
      <c r="B33" s="4">
        <v>95.050074229201812</v>
      </c>
      <c r="C33" s="4">
        <v>77.2571850611304</v>
      </c>
      <c r="D33" s="4">
        <v>-17.792889168071451</v>
      </c>
      <c r="E33" s="618" t="str">
        <f t="shared" si="10"/>
        <v>***</v>
      </c>
      <c r="G33" s="296" t="s">
        <v>142</v>
      </c>
      <c r="H33" s="4">
        <v>95.050074229201812</v>
      </c>
      <c r="I33" s="4">
        <v>80.80561886897803</v>
      </c>
      <c r="J33" s="4">
        <v>-14.24445536022386</v>
      </c>
      <c r="K33" s="619" t="str">
        <f t="shared" si="11"/>
        <v>***</v>
      </c>
      <c r="L33" s="4">
        <v>67.452258638728296</v>
      </c>
      <c r="M33" s="4">
        <v>-27.597815590473523</v>
      </c>
      <c r="N33" s="620" t="str">
        <f t="shared" si="12"/>
        <v>***</v>
      </c>
      <c r="P33" s="296" t="s">
        <v>261</v>
      </c>
      <c r="Q33" s="4">
        <v>91.715773779249218</v>
      </c>
      <c r="R33" s="4">
        <v>67.452258638728296</v>
      </c>
      <c r="S33" s="4">
        <v>-24.263515140521061</v>
      </c>
      <c r="T33" s="621" t="str">
        <f t="shared" si="13"/>
        <v>***</v>
      </c>
    </row>
    <row r="34" spans="1:20" x14ac:dyDescent="0.2">
      <c r="A34" s="296" t="s">
        <v>39</v>
      </c>
      <c r="B34" s="4">
        <v>90.211284826582201</v>
      </c>
      <c r="C34" s="4">
        <v>68.715770740209379</v>
      </c>
      <c r="D34" s="4">
        <v>-21.495514086372786</v>
      </c>
      <c r="E34" s="622" t="str">
        <f t="shared" si="10"/>
        <v>***</v>
      </c>
      <c r="G34" s="296" t="s">
        <v>143</v>
      </c>
      <c r="H34" s="4">
        <v>90.211284826582201</v>
      </c>
      <c r="I34" s="4">
        <v>74.94030353563457</v>
      </c>
      <c r="J34" s="4">
        <v>-15.270981290947557</v>
      </c>
      <c r="K34" s="623" t="str">
        <f t="shared" si="11"/>
        <v>***</v>
      </c>
      <c r="L34" s="4">
        <v>48.098014845726333</v>
      </c>
      <c r="M34" s="4">
        <v>-42.113269980855932</v>
      </c>
      <c r="N34" s="624" t="str">
        <f t="shared" si="12"/>
        <v>***</v>
      </c>
      <c r="P34" s="296" t="s">
        <v>262</v>
      </c>
      <c r="Q34" s="4">
        <v>86.390279744942134</v>
      </c>
      <c r="R34" s="4">
        <v>48.098014845726333</v>
      </c>
      <c r="S34" s="4">
        <v>-38.292264899216164</v>
      </c>
      <c r="T34" s="625" t="str">
        <f t="shared" si="13"/>
        <v>***</v>
      </c>
    </row>
    <row r="35" spans="1:20" x14ac:dyDescent="0.2">
      <c r="A35" s="296" t="s">
        <v>40</v>
      </c>
      <c r="B35" s="4">
        <v>88.231432042891612</v>
      </c>
      <c r="C35" s="4">
        <v>65.505630589425351</v>
      </c>
      <c r="D35" s="4">
        <v>-22.725801453466516</v>
      </c>
      <c r="E35" s="626" t="str">
        <f t="shared" si="10"/>
        <v>***</v>
      </c>
      <c r="G35" s="296" t="s">
        <v>144</v>
      </c>
      <c r="H35" s="4">
        <v>88.231432042891612</v>
      </c>
      <c r="I35" s="4">
        <v>71.820176669806273</v>
      </c>
      <c r="J35" s="4">
        <v>-16.411255373085464</v>
      </c>
      <c r="K35" s="627" t="str">
        <f t="shared" si="11"/>
        <v>***</v>
      </c>
      <c r="L35" s="4">
        <v>52.740424081304297</v>
      </c>
      <c r="M35" s="4">
        <v>-35.491007961587613</v>
      </c>
      <c r="N35" s="628" t="str">
        <f t="shared" si="12"/>
        <v>***</v>
      </c>
      <c r="P35" s="296" t="s">
        <v>263</v>
      </c>
      <c r="Q35" s="4">
        <v>82.710907980400904</v>
      </c>
      <c r="R35" s="4">
        <v>52.740424081304297</v>
      </c>
      <c r="S35" s="4">
        <v>-29.970483899096703</v>
      </c>
      <c r="T35" s="629" t="str">
        <f t="shared" si="13"/>
        <v>***</v>
      </c>
    </row>
    <row r="36" spans="1:20" x14ac:dyDescent="0.2">
      <c r="A36" s="296" t="s">
        <v>41</v>
      </c>
      <c r="B36" s="4">
        <v>84.76609400962802</v>
      </c>
      <c r="C36" s="4">
        <v>61.014611731531289</v>
      </c>
      <c r="D36" s="4">
        <v>-23.751482278096788</v>
      </c>
      <c r="E36" s="630" t="str">
        <f t="shared" si="10"/>
        <v>***</v>
      </c>
      <c r="G36" s="296" t="s">
        <v>145</v>
      </c>
      <c r="H36" s="4">
        <v>84.76609400962802</v>
      </c>
      <c r="I36" s="4">
        <v>64.242828420575705</v>
      </c>
      <c r="J36" s="4">
        <v>-20.523265589052606</v>
      </c>
      <c r="K36" s="631" t="str">
        <f t="shared" si="11"/>
        <v>***</v>
      </c>
      <c r="L36" s="4">
        <v>49.473226198064403</v>
      </c>
      <c r="M36" s="4">
        <v>-35.292867811563369</v>
      </c>
      <c r="N36" s="632" t="str">
        <f t="shared" si="12"/>
        <v>***</v>
      </c>
      <c r="P36" s="296" t="s">
        <v>264</v>
      </c>
      <c r="Q36" s="4">
        <v>79.155446781791156</v>
      </c>
      <c r="R36" s="4">
        <v>49.473226198064403</v>
      </c>
      <c r="S36" s="4">
        <v>-29.682220583727023</v>
      </c>
      <c r="T36" s="633" t="str">
        <f t="shared" si="13"/>
        <v>***</v>
      </c>
    </row>
    <row r="37" spans="1:20" x14ac:dyDescent="0.2">
      <c r="A37" s="296" t="s">
        <v>5835</v>
      </c>
      <c r="B37" s="4">
        <v>88.657851445263333</v>
      </c>
      <c r="C37" s="4">
        <v>67.702054022403914</v>
      </c>
      <c r="D37" s="4">
        <v>-20.955797422859721</v>
      </c>
      <c r="E37" s="634" t="str">
        <f t="shared" si="10"/>
        <v>***</v>
      </c>
      <c r="G37" s="296" t="s">
        <v>5835</v>
      </c>
      <c r="H37" s="4">
        <v>88.657851445263333</v>
      </c>
      <c r="I37" s="4">
        <v>72.669434749676881</v>
      </c>
      <c r="J37" s="4">
        <v>-15.988416695586519</v>
      </c>
      <c r="K37" s="635" t="str">
        <f t="shared" si="11"/>
        <v>***</v>
      </c>
      <c r="L37" s="4">
        <v>53.771351498524361</v>
      </c>
      <c r="M37" s="4">
        <v>-34.88649994673888</v>
      </c>
      <c r="N37" s="636" t="str">
        <f t="shared" si="12"/>
        <v>***</v>
      </c>
      <c r="P37" s="296" t="s">
        <v>5835</v>
      </c>
      <c r="Q37" s="4">
        <v>84.115739106495766</v>
      </c>
      <c r="R37" s="4">
        <v>53.771351498524361</v>
      </c>
      <c r="S37" s="4">
        <v>-30.344387607972138</v>
      </c>
      <c r="T37" s="637" t="str">
        <f t="shared" si="13"/>
        <v>***</v>
      </c>
    </row>
    <row r="39" spans="1:20" x14ac:dyDescent="0.2">
      <c r="A39" s="296" t="s">
        <v>42</v>
      </c>
      <c r="G39" s="296" t="s">
        <v>146</v>
      </c>
      <c r="P39" s="296" t="s">
        <v>265</v>
      </c>
    </row>
    <row r="40" spans="1:20" s="3" customFormat="1" x14ac:dyDescent="0.2">
      <c r="A40" s="5154" t="s">
        <v>43</v>
      </c>
      <c r="B40" s="5155" t="s">
        <v>44</v>
      </c>
      <c r="C40" s="5156" t="s">
        <v>45</v>
      </c>
      <c r="D40" s="5157" t="s">
        <v>46</v>
      </c>
      <c r="E40" s="5158" t="s">
        <v>47</v>
      </c>
      <c r="G40" s="5159" t="s">
        <v>147</v>
      </c>
      <c r="H40" s="5160" t="s">
        <v>148</v>
      </c>
      <c r="I40" s="5161" t="s">
        <v>149</v>
      </c>
      <c r="J40" s="5162" t="s">
        <v>150</v>
      </c>
      <c r="K40" s="5163" t="s">
        <v>151</v>
      </c>
      <c r="L40" s="5164" t="s">
        <v>214</v>
      </c>
      <c r="M40" s="5165" t="s">
        <v>215</v>
      </c>
      <c r="N40" s="5166" t="s">
        <v>216</v>
      </c>
      <c r="P40" s="5167" t="s">
        <v>266</v>
      </c>
      <c r="Q40" s="5168" t="s">
        <v>267</v>
      </c>
      <c r="R40" s="5169" t="s">
        <v>268</v>
      </c>
      <c r="S40" s="5170" t="s">
        <v>269</v>
      </c>
      <c r="T40" s="5171" t="s">
        <v>270</v>
      </c>
    </row>
    <row r="41" spans="1:20" x14ac:dyDescent="0.2">
      <c r="A41" s="296" t="s">
        <v>48</v>
      </c>
      <c r="B41" s="4">
        <v>97.701670301234358</v>
      </c>
      <c r="C41" s="4">
        <v>92.470322063521181</v>
      </c>
      <c r="D41" s="4">
        <v>-5.2313482377131511</v>
      </c>
      <c r="E41" s="638" t="str">
        <f>IF(       0&lt;0.01,"***",IF(       0&lt;0.05,"**",IF(       0&lt;0.1,"*","NS")))</f>
        <v>***</v>
      </c>
      <c r="G41" s="296" t="s">
        <v>152</v>
      </c>
      <c r="H41" s="4">
        <v>97.701670301234358</v>
      </c>
      <c r="I41" s="4">
        <v>94.851490734666186</v>
      </c>
      <c r="J41" s="4">
        <v>-2.8501795665681615</v>
      </c>
      <c r="K41" s="639" t="str">
        <f>IF(       0.036&lt;0.01,"***",IF(       0.036&lt;0.05,"**",IF(       0.036&lt;0.1,"*","NS")))</f>
        <v>**</v>
      </c>
      <c r="L41" s="4">
        <v>81.361664516205025</v>
      </c>
      <c r="M41" s="4">
        <v>-16.340005785029451</v>
      </c>
      <c r="N41" s="640" t="str">
        <f>IF(       0&lt;0.01,"***",IF(       0&lt;0.05,"**",IF(       0&lt;0.1,"*","NS")))</f>
        <v>***</v>
      </c>
      <c r="P41" s="296" t="s">
        <v>271</v>
      </c>
      <c r="Q41" s="4">
        <v>96.737065567237252</v>
      </c>
      <c r="R41" s="4">
        <v>81.361664516205025</v>
      </c>
      <c r="S41" s="4">
        <v>-15.375401051032043</v>
      </c>
      <c r="T41" s="641" t="str">
        <f>IF(       0&lt;0.01,"***",IF(       0&lt;0.05,"**",IF(       0&lt;0.1,"*","NS")))</f>
        <v>***</v>
      </c>
    </row>
    <row r="42" spans="1:20" x14ac:dyDescent="0.2">
      <c r="A42" s="296" t="s">
        <v>49</v>
      </c>
      <c r="B42" s="4">
        <v>94.726276520570835</v>
      </c>
      <c r="C42" s="4">
        <v>83.132771111709772</v>
      </c>
      <c r="D42" s="4">
        <v>-11.593505408861136</v>
      </c>
      <c r="E42" s="642" t="str">
        <f>IF(       0&lt;0.01,"***",IF(       0&lt;0.05,"**",IF(       0&lt;0.1,"*","NS")))</f>
        <v>***</v>
      </c>
      <c r="G42" s="296" t="s">
        <v>153</v>
      </c>
      <c r="H42" s="4">
        <v>94.726276520570835</v>
      </c>
      <c r="I42" s="4">
        <v>85.765766894020572</v>
      </c>
      <c r="J42" s="4">
        <v>-8.9605096265503139</v>
      </c>
      <c r="K42" s="643" t="str">
        <f>IF(       0&lt;0.01,"***",IF(       0&lt;0.05,"**",IF(       0&lt;0.1,"*","NS")))</f>
        <v>***</v>
      </c>
      <c r="L42" s="4">
        <v>76.035032311673802</v>
      </c>
      <c r="M42" s="4">
        <v>-18.69124420889715</v>
      </c>
      <c r="N42" s="644" t="str">
        <f>IF(       0&lt;0.01,"***",IF(       0&lt;0.05,"**",IF(       0&lt;0.1,"*","NS")))</f>
        <v>***</v>
      </c>
      <c r="P42" s="296" t="s">
        <v>272</v>
      </c>
      <c r="Q42" s="4">
        <v>92.578864177974779</v>
      </c>
      <c r="R42" s="4">
        <v>76.035032311673802</v>
      </c>
      <c r="S42" s="4">
        <v>-16.543831866300867</v>
      </c>
      <c r="T42" s="645" t="str">
        <f>IF(       0&lt;0.01,"***",IF(       0&lt;0.05,"**",IF(       0&lt;0.1,"*","NS")))</f>
        <v>***</v>
      </c>
    </row>
    <row r="43" spans="1:20" x14ac:dyDescent="0.2">
      <c r="A43" s="296" t="s">
        <v>50</v>
      </c>
      <c r="B43" s="4">
        <v>96.553462883165921</v>
      </c>
      <c r="C43" s="4">
        <v>92.648976494459319</v>
      </c>
      <c r="D43" s="4">
        <v>-3.9044863887065797</v>
      </c>
      <c r="E43" s="646" t="str">
        <f>IF(       0.056&lt;0.01,"***",IF(       0.056&lt;0.05,"**",IF(       0.056&lt;0.1,"*","NS")))</f>
        <v>*</v>
      </c>
      <c r="G43" s="296" t="s">
        <v>154</v>
      </c>
      <c r="H43" s="4">
        <v>96.553462883165921</v>
      </c>
      <c r="I43" s="4">
        <v>93.883212686335554</v>
      </c>
      <c r="J43" s="4">
        <v>-2.6702501968303669</v>
      </c>
      <c r="K43" s="647" t="str">
        <f>IF(       0.187&lt;0.01,"***",IF(       0.187&lt;0.05,"**",IF(       0.187&lt;0.1,"*","NS")))</f>
        <v>NS</v>
      </c>
      <c r="L43" s="4">
        <v>88.35566057111977</v>
      </c>
      <c r="M43" s="4">
        <v>-8.1978023120461518</v>
      </c>
      <c r="N43" s="648" t="str">
        <f>IF(       0.042&lt;0.01,"***",IF(       0.042&lt;0.05,"**",IF(       0.042&lt;0.1,"*","NS")))</f>
        <v>**</v>
      </c>
      <c r="P43" s="296" t="s">
        <v>273</v>
      </c>
      <c r="Q43" s="4">
        <v>95.91995031097224</v>
      </c>
      <c r="R43" s="4">
        <v>88.35566057111977</v>
      </c>
      <c r="S43" s="4">
        <v>-7.56428973985245</v>
      </c>
      <c r="T43" s="649" t="str">
        <f>IF(       0.053&lt;0.01,"***",IF(       0.053&lt;0.05,"**",IF(       0.053&lt;0.1,"*","NS")))</f>
        <v>*</v>
      </c>
    </row>
    <row r="44" spans="1:20" x14ac:dyDescent="0.2">
      <c r="A44" s="296" t="s">
        <v>51</v>
      </c>
      <c r="B44" s="4">
        <v>95.902136834515389</v>
      </c>
      <c r="C44" s="4">
        <v>88.606910298984303</v>
      </c>
      <c r="D44" s="4">
        <v>-7.2952265355310839</v>
      </c>
      <c r="E44" s="650" t="str">
        <f>IF(       0&lt;0.01,"***",IF(       0&lt;0.05,"**",IF(       0&lt;0.1,"*","NS")))</f>
        <v>***</v>
      </c>
      <c r="G44" s="296" t="s">
        <v>155</v>
      </c>
      <c r="H44" s="4">
        <v>95.902136834515389</v>
      </c>
      <c r="I44" s="4">
        <v>90.968601137962523</v>
      </c>
      <c r="J44" s="4">
        <v>-4.9335356965528403</v>
      </c>
      <c r="K44" s="651" t="str">
        <f>IF(       0.009&lt;0.01,"***",IF(       0.009&lt;0.05,"**",IF(       0.009&lt;0.1,"*","NS")))</f>
        <v>***</v>
      </c>
      <c r="L44" s="4">
        <v>78.757864106978403</v>
      </c>
      <c r="M44" s="4">
        <v>-17.144272727537036</v>
      </c>
      <c r="N44" s="652" t="str">
        <f>IF(       0&lt;0.01,"***",IF(       0&lt;0.05,"**",IF(       0&lt;0.1,"*","NS")))</f>
        <v>***</v>
      </c>
      <c r="P44" s="296" t="s">
        <v>274</v>
      </c>
      <c r="Q44" s="4">
        <v>94.522635981441326</v>
      </c>
      <c r="R44" s="4">
        <v>78.757864106978403</v>
      </c>
      <c r="S44" s="4">
        <v>-15.764771874462868</v>
      </c>
      <c r="T44" s="653" t="str">
        <f>IF(       0.001&lt;0.01,"***",IF(       0.001&lt;0.05,"**",IF(       0.001&lt;0.1,"*","NS")))</f>
        <v>***</v>
      </c>
    </row>
    <row r="45" spans="1:20" x14ac:dyDescent="0.2">
      <c r="A45" s="296" t="s">
        <v>52</v>
      </c>
      <c r="B45" s="4">
        <v>92.896074562041562</v>
      </c>
      <c r="C45" s="4">
        <v>87.411363511660696</v>
      </c>
      <c r="D45" s="4">
        <v>-5.4847110503808478</v>
      </c>
      <c r="E45" s="654" t="str">
        <f>IF(       0.006&lt;0.01,"***",IF(       0.006&lt;0.05,"**",IF(       0.006&lt;0.1,"*","NS")))</f>
        <v>***</v>
      </c>
      <c r="G45" s="296" t="s">
        <v>156</v>
      </c>
      <c r="H45" s="4">
        <v>92.896074562041562</v>
      </c>
      <c r="I45" s="4">
        <v>88.783227125901988</v>
      </c>
      <c r="J45" s="4">
        <v>-4.1128474361395213</v>
      </c>
      <c r="K45" s="655" t="str">
        <f>IF(       0.018&lt;0.01,"***",IF(       0.018&lt;0.05,"**",IF(       0.018&lt;0.1,"*","NS")))</f>
        <v>**</v>
      </c>
      <c r="L45" s="4">
        <v>80.382175820194476</v>
      </c>
      <c r="M45" s="4">
        <v>-12.513898741846958</v>
      </c>
      <c r="N45" s="656" t="str">
        <f>IF(       0.014&lt;0.01,"***",IF(       0.014&lt;0.05,"**",IF(       0.014&lt;0.1,"*","NS")))</f>
        <v>**</v>
      </c>
      <c r="P45" s="296" t="s">
        <v>275</v>
      </c>
      <c r="Q45" s="4">
        <v>91.823940840879757</v>
      </c>
      <c r="R45" s="4">
        <v>80.382175820194476</v>
      </c>
      <c r="S45" s="4">
        <v>-11.441765020685267</v>
      </c>
      <c r="T45" s="657" t="str">
        <f>IF(       0.019&lt;0.01,"***",IF(       0.019&lt;0.05,"**",IF(       0.019&lt;0.1,"*","NS")))</f>
        <v>**</v>
      </c>
    </row>
    <row r="46" spans="1:20" x14ac:dyDescent="0.2">
      <c r="A46" s="296" t="s">
        <v>53</v>
      </c>
      <c r="B46" s="4">
        <v>94.35511581854341</v>
      </c>
      <c r="C46" s="4">
        <v>89.053100234351774</v>
      </c>
      <c r="D46" s="4">
        <v>-5.3020155841916434</v>
      </c>
      <c r="E46" s="658" t="str">
        <f>IF(       0.007&lt;0.01,"***",IF(       0.007&lt;0.05,"**",IF(       0.007&lt;0.1,"*","NS")))</f>
        <v>***</v>
      </c>
      <c r="G46" s="296" t="s">
        <v>157</v>
      </c>
      <c r="H46" s="4">
        <v>94.35511581854341</v>
      </c>
      <c r="I46" s="4">
        <v>91.335896830781834</v>
      </c>
      <c r="J46" s="4">
        <v>-3.0192189877615734</v>
      </c>
      <c r="K46" s="659" t="str">
        <f>IF(       0.074&lt;0.01,"***",IF(       0.074&lt;0.05,"**",IF(       0.074&lt;0.1,"*","NS")))</f>
        <v>*</v>
      </c>
      <c r="L46" s="4">
        <v>81.103705403225973</v>
      </c>
      <c r="M46" s="4">
        <v>-13.251410415317249</v>
      </c>
      <c r="N46" s="660" t="str">
        <f>IF(       0.015&lt;0.01,"***",IF(       0.015&lt;0.05,"**",IF(       0.015&lt;0.1,"*","NS")))</f>
        <v>**</v>
      </c>
      <c r="P46" s="296" t="s">
        <v>276</v>
      </c>
      <c r="Q46" s="4">
        <v>93.542766359029059</v>
      </c>
      <c r="R46" s="4">
        <v>81.103705403225973</v>
      </c>
      <c r="S46" s="4">
        <v>-12.439060955802899</v>
      </c>
      <c r="T46" s="661" t="str">
        <f>IF(       0.02&lt;0.01,"***",IF(       0.02&lt;0.05,"**",IF(       0.02&lt;0.1,"*","NS")))</f>
        <v>**</v>
      </c>
    </row>
    <row r="47" spans="1:20" x14ac:dyDescent="0.2">
      <c r="A47" s="296" t="s">
        <v>54</v>
      </c>
      <c r="B47" s="4" t="s">
        <v>6067</v>
      </c>
      <c r="C47" s="4" t="s">
        <v>6067</v>
      </c>
      <c r="D47" s="4" t="s">
        <v>6067</v>
      </c>
      <c r="E47" s="4" t="s">
        <v>6067</v>
      </c>
      <c r="G47" s="296" t="s">
        <v>158</v>
      </c>
      <c r="H47" s="4" t="s">
        <v>6067</v>
      </c>
      <c r="I47" s="4" t="s">
        <v>6067</v>
      </c>
      <c r="J47" s="4" t="s">
        <v>6067</v>
      </c>
      <c r="K47" s="4" t="s">
        <v>6067</v>
      </c>
      <c r="L47" s="4" t="s">
        <v>6067</v>
      </c>
      <c r="M47" s="4" t="s">
        <v>6067</v>
      </c>
      <c r="N47" s="4" t="s">
        <v>6067</v>
      </c>
      <c r="P47" s="296" t="s">
        <v>277</v>
      </c>
      <c r="Q47" s="4" t="s">
        <v>6067</v>
      </c>
      <c r="R47" s="4" t="s">
        <v>6067</v>
      </c>
      <c r="S47" s="4" t="s">
        <v>6067</v>
      </c>
      <c r="T47" s="4" t="s">
        <v>6067</v>
      </c>
    </row>
    <row r="48" spans="1:20" x14ac:dyDescent="0.2">
      <c r="A48" s="296" t="s">
        <v>55</v>
      </c>
      <c r="B48" s="4">
        <v>44.661958772148203</v>
      </c>
      <c r="C48" s="4">
        <v>38.490710279873937</v>
      </c>
      <c r="D48" s="4">
        <v>-6.1712484922742306</v>
      </c>
      <c r="E48" s="662" t="str">
        <f>IF(       0.101&lt;0.01,"***",IF(       0.101&lt;0.05,"**",IF(       0.101&lt;0.1,"*","NS")))</f>
        <v>NS</v>
      </c>
      <c r="G48" s="296" t="s">
        <v>159</v>
      </c>
      <c r="H48" s="4">
        <v>44.661958772148203</v>
      </c>
      <c r="I48" s="4">
        <v>42.532832685139077</v>
      </c>
      <c r="J48" s="4">
        <v>-2.1291260870091171</v>
      </c>
      <c r="K48" s="663" t="str">
        <f>IF(       0.659&lt;0.01,"***",IF(       0.659&lt;0.05,"**",IF(       0.659&lt;0.1,"*","NS")))</f>
        <v>NS</v>
      </c>
      <c r="L48" s="4">
        <v>26.409320846210761</v>
      </c>
      <c r="M48" s="4">
        <v>-18.252637925937364</v>
      </c>
      <c r="N48" s="664" t="str">
        <f>IF(       0.049&lt;0.01,"***",IF(       0.049&lt;0.05,"**",IF(       0.049&lt;0.1,"*","NS")))</f>
        <v>**</v>
      </c>
      <c r="P48" s="296" t="s">
        <v>278</v>
      </c>
      <c r="Q48" s="4">
        <v>44.320195359857642</v>
      </c>
      <c r="R48" s="4">
        <v>26.409320846210761</v>
      </c>
      <c r="S48" s="4">
        <v>-17.910874513646853</v>
      </c>
      <c r="T48" s="665" t="str">
        <f>IF(       0.059&lt;0.01,"***",IF(       0.059&lt;0.05,"**",IF(       0.059&lt;0.1,"*","NS")))</f>
        <v>*</v>
      </c>
    </row>
    <row r="49" spans="1:20" x14ac:dyDescent="0.2">
      <c r="A49" s="296" t="s">
        <v>56</v>
      </c>
      <c r="B49" s="4">
        <v>93.415038255554236</v>
      </c>
      <c r="C49" s="4">
        <v>86.546448583521183</v>
      </c>
      <c r="D49" s="4">
        <v>-6.8685896720330506</v>
      </c>
      <c r="E49" s="666" t="str">
        <f>IF(       0.003&lt;0.01,"***",IF(       0.003&lt;0.05,"**",IF(       0.003&lt;0.1,"*","NS")))</f>
        <v>***</v>
      </c>
      <c r="G49" s="296" t="s">
        <v>160</v>
      </c>
      <c r="H49" s="4">
        <v>93.415038255554236</v>
      </c>
      <c r="I49" s="4">
        <v>91.323421082179706</v>
      </c>
      <c r="J49" s="4">
        <v>-2.0916171733745248</v>
      </c>
      <c r="K49" s="667" t="str">
        <f>IF(       0.319&lt;0.01,"***",IF(       0.319&lt;0.05,"**",IF(       0.319&lt;0.1,"*","NS")))</f>
        <v>NS</v>
      </c>
      <c r="L49" s="4">
        <v>78.061327001117547</v>
      </c>
      <c r="M49" s="4">
        <v>-15.353711254436792</v>
      </c>
      <c r="N49" s="668" t="str">
        <f>IF(       0&lt;0.01,"***",IF(       0&lt;0.05,"**",IF(       0&lt;0.1,"*","NS")))</f>
        <v>***</v>
      </c>
      <c r="P49" s="296" t="s">
        <v>279</v>
      </c>
      <c r="Q49" s="4">
        <v>92.796404637613506</v>
      </c>
      <c r="R49" s="4">
        <v>78.061327001117547</v>
      </c>
      <c r="S49" s="4">
        <v>-14.735077636495962</v>
      </c>
      <c r="T49" s="669" t="str">
        <f>IF(       0&lt;0.01,"***",IF(       0&lt;0.05,"**",IF(       0&lt;0.1,"*","NS")))</f>
        <v>***</v>
      </c>
    </row>
    <row r="50" spans="1:20" x14ac:dyDescent="0.2">
      <c r="A50" s="296" t="s">
        <v>57</v>
      </c>
      <c r="B50" s="4">
        <v>96.705637624116079</v>
      </c>
      <c r="C50" s="4">
        <v>92.083763549835638</v>
      </c>
      <c r="D50" s="4">
        <v>-4.621874074280484</v>
      </c>
      <c r="E50" s="670" t="str">
        <f>IF(       0.003&lt;0.01,"***",IF(       0.003&lt;0.05,"**",IF(       0.003&lt;0.1,"*","NS")))</f>
        <v>***</v>
      </c>
      <c r="G50" s="296" t="s">
        <v>161</v>
      </c>
      <c r="H50" s="4">
        <v>96.705637624116079</v>
      </c>
      <c r="I50" s="4">
        <v>93.913651842366932</v>
      </c>
      <c r="J50" s="4">
        <v>-2.7919857817491396</v>
      </c>
      <c r="K50" s="671" t="str">
        <f>IF(       0.048&lt;0.01,"***",IF(       0.048&lt;0.05,"**",IF(       0.048&lt;0.1,"*","NS")))</f>
        <v>**</v>
      </c>
      <c r="L50" s="4">
        <v>86.171558712307331</v>
      </c>
      <c r="M50" s="4">
        <v>-10.53407891180874</v>
      </c>
      <c r="N50" s="672" t="str">
        <f>IF(       0.003&lt;0.01,"***",IF(       0.003&lt;0.05,"**",IF(       0.003&lt;0.1,"*","NS")))</f>
        <v>***</v>
      </c>
      <c r="P50" s="296" t="s">
        <v>280</v>
      </c>
      <c r="Q50" s="4">
        <v>95.686632288280038</v>
      </c>
      <c r="R50" s="4">
        <v>86.171558712307331</v>
      </c>
      <c r="S50" s="4">
        <v>-9.5150735759728189</v>
      </c>
      <c r="T50" s="673" t="str">
        <f>IF(       0.006&lt;0.01,"***",IF(       0.006&lt;0.05,"**",IF(       0.006&lt;0.1,"*","NS")))</f>
        <v>***</v>
      </c>
    </row>
    <row r="51" spans="1:20" x14ac:dyDescent="0.2">
      <c r="A51" s="296" t="s">
        <v>58</v>
      </c>
      <c r="B51" s="4">
        <v>93.591084458116001</v>
      </c>
      <c r="C51" s="4">
        <v>87.754344041519829</v>
      </c>
      <c r="D51" s="4">
        <v>-5.8367404165961672</v>
      </c>
      <c r="E51" s="674" t="str">
        <f>IF(       0.006&lt;0.01,"***",IF(       0.006&lt;0.05,"**",IF(       0.006&lt;0.1,"*","NS")))</f>
        <v>***</v>
      </c>
      <c r="G51" s="296" t="s">
        <v>162</v>
      </c>
      <c r="H51" s="4">
        <v>93.591084458116001</v>
      </c>
      <c r="I51" s="4">
        <v>89.333745928579859</v>
      </c>
      <c r="J51" s="4">
        <v>-4.2573385295361268</v>
      </c>
      <c r="K51" s="675" t="str">
        <f>IF(       0.032&lt;0.01,"***",IF(       0.032&lt;0.05,"**",IF(       0.032&lt;0.1,"*","NS")))</f>
        <v>**</v>
      </c>
      <c r="L51" s="4">
        <v>83.250098695197437</v>
      </c>
      <c r="M51" s="4">
        <v>-10.340985762918519</v>
      </c>
      <c r="N51" s="676" t="str">
        <f>IF(       0.007&lt;0.01,"***",IF(       0.007&lt;0.05,"**",IF(       0.007&lt;0.1,"*","NS")))</f>
        <v>***</v>
      </c>
      <c r="P51" s="296" t="s">
        <v>281</v>
      </c>
      <c r="Q51" s="4">
        <v>92.669060208085597</v>
      </c>
      <c r="R51" s="4">
        <v>83.250098695197437</v>
      </c>
      <c r="S51" s="4">
        <v>-9.4189615128882362</v>
      </c>
      <c r="T51" s="677" t="str">
        <f>IF(       0.009&lt;0.01,"***",IF(       0.009&lt;0.05,"**",IF(       0.009&lt;0.1,"*","NS")))</f>
        <v>***</v>
      </c>
    </row>
    <row r="52" spans="1:20" x14ac:dyDescent="0.2">
      <c r="A52" s="296" t="s">
        <v>59</v>
      </c>
      <c r="B52" s="4">
        <v>96.271003101956154</v>
      </c>
      <c r="C52" s="4">
        <v>88.346040644013229</v>
      </c>
      <c r="D52" s="4">
        <v>-7.9249624579428586</v>
      </c>
      <c r="E52" s="678" t="str">
        <f>IF(       0.005&lt;0.01,"***",IF(       0.005&lt;0.05,"**",IF(       0.005&lt;0.1,"*","NS")))</f>
        <v>***</v>
      </c>
      <c r="G52" s="296" t="s">
        <v>163</v>
      </c>
      <c r="H52" s="4">
        <v>96.271003101956154</v>
      </c>
      <c r="I52" s="4">
        <v>92.111635364324897</v>
      </c>
      <c r="J52" s="4">
        <v>-4.159367737631233</v>
      </c>
      <c r="K52" s="679" t="str">
        <f>IF(       0.029&lt;0.01,"***",IF(       0.029&lt;0.05,"**",IF(       0.029&lt;0.1,"*","NS")))</f>
        <v>**</v>
      </c>
      <c r="L52" s="4">
        <v>76.183818287937015</v>
      </c>
      <c r="M52" s="4">
        <v>-20.087184814018752</v>
      </c>
      <c r="N52" s="680" t="str">
        <f>IF(       0.004&lt;0.01,"***",IF(       0.004&lt;0.05,"**",IF(       0.004&lt;0.1,"*","NS")))</f>
        <v>***</v>
      </c>
      <c r="P52" s="296" t="s">
        <v>282</v>
      </c>
      <c r="Q52" s="4">
        <v>95.4480155343485</v>
      </c>
      <c r="R52" s="4">
        <v>76.183818287937015</v>
      </c>
      <c r="S52" s="4">
        <v>-19.264197246411584</v>
      </c>
      <c r="T52" s="681" t="str">
        <f>IF(       0.004&lt;0.01,"***",IF(       0.004&lt;0.05,"**",IF(       0.004&lt;0.1,"*","NS")))</f>
        <v>***</v>
      </c>
    </row>
    <row r="53" spans="1:20" x14ac:dyDescent="0.2">
      <c r="A53" s="296" t="s">
        <v>60</v>
      </c>
      <c r="B53" s="4">
        <v>96.865065708796422</v>
      </c>
      <c r="C53" s="4">
        <v>91.686324363258038</v>
      </c>
      <c r="D53" s="4">
        <v>-5.1787413455383771</v>
      </c>
      <c r="E53" s="682" t="str">
        <f>IF(       0.004&lt;0.01,"***",IF(       0.004&lt;0.05,"**",IF(       0.004&lt;0.1,"*","NS")))</f>
        <v>***</v>
      </c>
      <c r="G53" s="296" t="s">
        <v>164</v>
      </c>
      <c r="H53" s="4">
        <v>96.865065708796422</v>
      </c>
      <c r="I53" s="4">
        <v>92.634276550050927</v>
      </c>
      <c r="J53" s="4">
        <v>-4.230789158745452</v>
      </c>
      <c r="K53" s="683" t="str">
        <f>IF(       0.012&lt;0.01,"***",IF(       0.012&lt;0.05,"**",IF(       0.012&lt;0.1,"*","NS")))</f>
        <v>**</v>
      </c>
      <c r="L53" s="4">
        <v>89.079923723640519</v>
      </c>
      <c r="M53" s="4">
        <v>-7.7851419851559331</v>
      </c>
      <c r="N53" s="684" t="str">
        <f>IF(       0.068&lt;0.01,"***",IF(       0.068&lt;0.05,"**",IF(       0.068&lt;0.1,"*","NS")))</f>
        <v>*</v>
      </c>
      <c r="P53" s="296" t="s">
        <v>283</v>
      </c>
      <c r="Q53" s="4">
        <v>96.041259189494838</v>
      </c>
      <c r="R53" s="4">
        <v>89.079923723640519</v>
      </c>
      <c r="S53" s="4">
        <v>-6.961335465854301</v>
      </c>
      <c r="T53" s="685" t="str">
        <f>IF(       0.103&lt;0.01,"***",IF(       0.103&lt;0.05,"**",IF(       0.103&lt;0.1,"*","NS")))</f>
        <v>NS</v>
      </c>
    </row>
    <row r="54" spans="1:20" x14ac:dyDescent="0.2">
      <c r="A54" s="296" t="s">
        <v>61</v>
      </c>
      <c r="B54" s="4">
        <v>92.005864053726441</v>
      </c>
      <c r="C54" s="4">
        <v>84.491830615240559</v>
      </c>
      <c r="D54" s="4">
        <v>-7.5140334384857885</v>
      </c>
      <c r="E54" s="686" t="str">
        <f>IF(       0&lt;0.01,"***",IF(       0&lt;0.05,"**",IF(       0&lt;0.1,"*","NS")))</f>
        <v>***</v>
      </c>
      <c r="G54" s="296" t="s">
        <v>165</v>
      </c>
      <c r="H54" s="4">
        <v>92.005864053726441</v>
      </c>
      <c r="I54" s="4">
        <v>88.261727454655485</v>
      </c>
      <c r="J54" s="4">
        <v>-3.7441365990709246</v>
      </c>
      <c r="K54" s="687" t="str">
        <f>IF(       0.021&lt;0.01,"***",IF(       0.021&lt;0.05,"**",IF(       0.021&lt;0.1,"*","NS")))</f>
        <v>**</v>
      </c>
      <c r="L54" s="4">
        <v>75.19017740672048</v>
      </c>
      <c r="M54" s="4">
        <v>-16.815686647005865</v>
      </c>
      <c r="N54" s="688" t="str">
        <f>IF(       0&lt;0.01,"***",IF(       0&lt;0.05,"**",IF(       0&lt;0.1,"*","NS")))</f>
        <v>***</v>
      </c>
      <c r="P54" s="296" t="s">
        <v>284</v>
      </c>
      <c r="Q54" s="4">
        <v>90.795738536257417</v>
      </c>
      <c r="R54" s="4">
        <v>75.19017740672048</v>
      </c>
      <c r="S54" s="4">
        <v>-15.605561129536568</v>
      </c>
      <c r="T54" s="689" t="str">
        <f>IF(       0&lt;0.01,"***",IF(       0&lt;0.05,"**",IF(       0&lt;0.1,"*","NS")))</f>
        <v>***</v>
      </c>
    </row>
    <row r="55" spans="1:20" x14ac:dyDescent="0.2">
      <c r="A55" s="296" t="s">
        <v>62</v>
      </c>
      <c r="B55" s="4">
        <v>95.818991208302791</v>
      </c>
      <c r="C55" s="4">
        <v>91.695930590806043</v>
      </c>
      <c r="D55" s="4">
        <v>-4.1230606174966988</v>
      </c>
      <c r="E55" s="690" t="str">
        <f>IF(       0.003&lt;0.01,"***",IF(       0.003&lt;0.05,"**",IF(       0.003&lt;0.1,"*","NS")))</f>
        <v>***</v>
      </c>
      <c r="G55" s="296" t="s">
        <v>166</v>
      </c>
      <c r="H55" s="4">
        <v>95.818991208302791</v>
      </c>
      <c r="I55" s="4">
        <v>94.93604854057115</v>
      </c>
      <c r="J55" s="4">
        <v>-0.88294266773165175</v>
      </c>
      <c r="K55" s="691" t="str">
        <f>IF(       0.537&lt;0.01,"***",IF(       0.537&lt;0.05,"**",IF(       0.537&lt;0.1,"*","NS")))</f>
        <v>NS</v>
      </c>
      <c r="L55" s="4">
        <v>82.888158195031167</v>
      </c>
      <c r="M55" s="4">
        <v>-12.930833013271657</v>
      </c>
      <c r="N55" s="692" t="str">
        <f>IF(       0.001&lt;0.01,"***",IF(       0.001&lt;0.05,"**",IF(       0.001&lt;0.1,"*","NS")))</f>
        <v>***</v>
      </c>
      <c r="P55" s="296" t="s">
        <v>285</v>
      </c>
      <c r="Q55" s="4">
        <v>95.604526992577306</v>
      </c>
      <c r="R55" s="4">
        <v>82.888158195031167</v>
      </c>
      <c r="S55" s="4">
        <v>-12.716368797546085</v>
      </c>
      <c r="T55" s="693" t="str">
        <f>IF(       0.002&lt;0.01,"***",IF(       0.002&lt;0.05,"**",IF(       0.002&lt;0.1,"*","NS")))</f>
        <v>***</v>
      </c>
    </row>
    <row r="56" spans="1:20" x14ac:dyDescent="0.2">
      <c r="A56" s="296" t="s">
        <v>5835</v>
      </c>
      <c r="B56" s="4">
        <v>93.947395723802458</v>
      </c>
      <c r="C56" s="4">
        <v>88.004319327202992</v>
      </c>
      <c r="D56" s="4">
        <v>-5.9430763965993068</v>
      </c>
      <c r="E56" s="694" t="str">
        <f>IF(       0&lt;0.01,"***",IF(       0&lt;0.05,"**",IF(       0&lt;0.1,"*","NS")))</f>
        <v>***</v>
      </c>
      <c r="G56" s="296" t="s">
        <v>5835</v>
      </c>
      <c r="H56" s="4">
        <v>93.947395723802458</v>
      </c>
      <c r="I56" s="4">
        <v>90.580155346904419</v>
      </c>
      <c r="J56" s="4">
        <v>-3.3672403768981178</v>
      </c>
      <c r="K56" s="695" t="str">
        <f>IF(       0&lt;0.01,"***",IF(       0&lt;0.05,"**",IF(       0&lt;0.1,"*","NS")))</f>
        <v>***</v>
      </c>
      <c r="L56" s="4">
        <v>79.949117657352517</v>
      </c>
      <c r="M56" s="4">
        <v>-13.998278066449881</v>
      </c>
      <c r="N56" s="696" t="str">
        <f>IF(       0&lt;0.01,"***",IF(       0&lt;0.05,"**",IF(       0&lt;0.1,"*","NS")))</f>
        <v>***</v>
      </c>
      <c r="P56" s="296" t="s">
        <v>5835</v>
      </c>
      <c r="Q56" s="4">
        <v>93.110835202071954</v>
      </c>
      <c r="R56" s="4">
        <v>79.949117657352517</v>
      </c>
      <c r="S56" s="4">
        <v>-13.161717544718206</v>
      </c>
      <c r="T56" s="697" t="str">
        <f>IF(       0&lt;0.01,"***",IF(       0&lt;0.05,"**",IF(       0&lt;0.1,"*","NS")))</f>
        <v>***</v>
      </c>
    </row>
    <row r="58" spans="1:20" x14ac:dyDescent="0.2">
      <c r="A58" s="296" t="s">
        <v>63</v>
      </c>
      <c r="G58" s="296" t="s">
        <v>167</v>
      </c>
      <c r="P58" s="296" t="s">
        <v>286</v>
      </c>
    </row>
    <row r="59" spans="1:20" s="3" customFormat="1" x14ac:dyDescent="0.2">
      <c r="A59" s="5172" t="s">
        <v>64</v>
      </c>
      <c r="B59" s="5173" t="s">
        <v>65</v>
      </c>
      <c r="C59" s="5174" t="s">
        <v>66</v>
      </c>
      <c r="D59" s="5175" t="s">
        <v>67</v>
      </c>
      <c r="E59" s="5176" t="s">
        <v>68</v>
      </c>
      <c r="G59" s="5177" t="s">
        <v>168</v>
      </c>
      <c r="H59" s="5178" t="s">
        <v>169</v>
      </c>
      <c r="I59" s="5179" t="s">
        <v>170</v>
      </c>
      <c r="J59" s="5180" t="s">
        <v>171</v>
      </c>
      <c r="K59" s="5181" t="s">
        <v>172</v>
      </c>
      <c r="L59" s="5182" t="s">
        <v>217</v>
      </c>
      <c r="M59" s="5183" t="s">
        <v>218</v>
      </c>
      <c r="N59" s="5184" t="s">
        <v>219</v>
      </c>
      <c r="P59" s="5185" t="s">
        <v>287</v>
      </c>
      <c r="Q59" s="5186" t="s">
        <v>288</v>
      </c>
      <c r="R59" s="5187" t="s">
        <v>289</v>
      </c>
      <c r="S59" s="5188" t="s">
        <v>290</v>
      </c>
      <c r="T59" s="5189" t="s">
        <v>291</v>
      </c>
    </row>
    <row r="60" spans="1:20" x14ac:dyDescent="0.2">
      <c r="A60" s="296" t="s">
        <v>69</v>
      </c>
      <c r="B60" s="4">
        <v>90.63636755315801</v>
      </c>
      <c r="C60" s="4">
        <v>77.580595446379917</v>
      </c>
      <c r="D60" s="4">
        <v>-13.055772106778285</v>
      </c>
      <c r="E60" s="698" t="str">
        <f>IF(       0&lt;0.01,"***",IF(       0&lt;0.05,"**",IF(       0&lt;0.1,"*","NS")))</f>
        <v>***</v>
      </c>
      <c r="G60" s="296" t="s">
        <v>173</v>
      </c>
      <c r="H60" s="4">
        <v>90.63636755315801</v>
      </c>
      <c r="I60" s="4">
        <v>81.890133175327975</v>
      </c>
      <c r="J60" s="4">
        <v>-8.7462343778300227</v>
      </c>
      <c r="K60" s="699" t="str">
        <f>IF(       0&lt;0.01,"***",IF(       0&lt;0.05,"**",IF(       0&lt;0.1,"*","NS")))</f>
        <v>***</v>
      </c>
      <c r="L60" s="4">
        <v>60.500457557349527</v>
      </c>
      <c r="M60" s="4">
        <v>-30.135909995807943</v>
      </c>
      <c r="N60" s="700" t="str">
        <f t="shared" ref="N60:N65" si="14">IF(       0&lt;0.01,"***",IF(       0&lt;0.05,"**",IF(       0&lt;0.1,"*","NS")))</f>
        <v>***</v>
      </c>
      <c r="P60" s="296" t="s">
        <v>292</v>
      </c>
      <c r="Q60" s="4">
        <v>87.403108346440391</v>
      </c>
      <c r="R60" s="4">
        <v>60.500457557349527</v>
      </c>
      <c r="S60" s="4">
        <v>-26.902650789090313</v>
      </c>
      <c r="T60" s="701" t="str">
        <f t="shared" ref="T60:T65" si="15">IF(       0&lt;0.01,"***",IF(       0&lt;0.05,"**",IF(       0&lt;0.1,"*","NS")))</f>
        <v>***</v>
      </c>
    </row>
    <row r="61" spans="1:20" x14ac:dyDescent="0.2">
      <c r="A61" s="296" t="s">
        <v>70</v>
      </c>
      <c r="B61" s="4">
        <v>91.694747522916444</v>
      </c>
      <c r="C61" s="4">
        <v>71.27762788354606</v>
      </c>
      <c r="D61" s="4">
        <v>-20.417119639370782</v>
      </c>
      <c r="E61" s="702" t="str">
        <f>IF(       0&lt;0.01,"***",IF(       0&lt;0.05,"**",IF(       0&lt;0.1,"*","NS")))</f>
        <v>***</v>
      </c>
      <c r="G61" s="296" t="s">
        <v>174</v>
      </c>
      <c r="H61" s="4">
        <v>91.694747522916444</v>
      </c>
      <c r="I61" s="4">
        <v>75.43874479686464</v>
      </c>
      <c r="J61" s="4">
        <v>-16.256002726051914</v>
      </c>
      <c r="K61" s="703" t="str">
        <f>IF(       0&lt;0.01,"***",IF(       0&lt;0.05,"**",IF(       0&lt;0.1,"*","NS")))</f>
        <v>***</v>
      </c>
      <c r="L61" s="4">
        <v>60.445548237705587</v>
      </c>
      <c r="M61" s="4">
        <v>-31.249199285210537</v>
      </c>
      <c r="N61" s="704" t="str">
        <f t="shared" si="14"/>
        <v>***</v>
      </c>
      <c r="P61" s="296" t="s">
        <v>293</v>
      </c>
      <c r="Q61" s="4">
        <v>86.683207587887296</v>
      </c>
      <c r="R61" s="4">
        <v>60.445548237705587</v>
      </c>
      <c r="S61" s="4">
        <v>-26.237659350182323</v>
      </c>
      <c r="T61" s="705" t="str">
        <f t="shared" si="15"/>
        <v>***</v>
      </c>
    </row>
    <row r="62" spans="1:20" x14ac:dyDescent="0.2">
      <c r="A62" s="296" t="s">
        <v>71</v>
      </c>
      <c r="B62" s="4">
        <v>93.981409644761527</v>
      </c>
      <c r="C62" s="4">
        <v>78.571761220232602</v>
      </c>
      <c r="D62" s="4">
        <v>-15.409648424529131</v>
      </c>
      <c r="E62" s="706" t="str">
        <f>IF(       0&lt;0.01,"***",IF(       0&lt;0.05,"**",IF(       0&lt;0.1,"*","NS")))</f>
        <v>***</v>
      </c>
      <c r="G62" s="296" t="s">
        <v>175</v>
      </c>
      <c r="H62" s="4">
        <v>93.981409644761527</v>
      </c>
      <c r="I62" s="4">
        <v>83.84937194572349</v>
      </c>
      <c r="J62" s="4">
        <v>-10.132037699038163</v>
      </c>
      <c r="K62" s="707" t="str">
        <f>IF(       0&lt;0.01,"***",IF(       0&lt;0.05,"**",IF(       0&lt;0.1,"*","NS")))</f>
        <v>***</v>
      </c>
      <c r="L62" s="4">
        <v>62.870094273995051</v>
      </c>
      <c r="M62" s="4">
        <v>-31.111315370766413</v>
      </c>
      <c r="N62" s="708" t="str">
        <f t="shared" si="14"/>
        <v>***</v>
      </c>
      <c r="P62" s="296" t="s">
        <v>294</v>
      </c>
      <c r="Q62" s="4">
        <v>91.397235597097776</v>
      </c>
      <c r="R62" s="4">
        <v>62.870094273995051</v>
      </c>
      <c r="S62" s="4">
        <v>-28.527141323102185</v>
      </c>
      <c r="T62" s="709" t="str">
        <f t="shared" si="15"/>
        <v>***</v>
      </c>
    </row>
    <row r="63" spans="1:20" x14ac:dyDescent="0.2">
      <c r="A63" s="296" t="s">
        <v>72</v>
      </c>
      <c r="B63" s="4">
        <v>91.276742522812782</v>
      </c>
      <c r="C63" s="4">
        <v>77.852848119942109</v>
      </c>
      <c r="D63" s="4">
        <v>-13.42389440287071</v>
      </c>
      <c r="E63" s="710" t="str">
        <f>IF(       0&lt;0.01,"***",IF(       0&lt;0.05,"**",IF(       0&lt;0.1,"*","NS")))</f>
        <v>***</v>
      </c>
      <c r="G63" s="296" t="s">
        <v>176</v>
      </c>
      <c r="H63" s="4">
        <v>91.276742522812782</v>
      </c>
      <c r="I63" s="4">
        <v>81.57144210388887</v>
      </c>
      <c r="J63" s="4">
        <v>-9.7053004189239704</v>
      </c>
      <c r="K63" s="711" t="str">
        <f>IF(       0&lt;0.01,"***",IF(       0&lt;0.05,"**",IF(       0&lt;0.1,"*","NS")))</f>
        <v>***</v>
      </c>
      <c r="L63" s="4">
        <v>64.480815262472106</v>
      </c>
      <c r="M63" s="4">
        <v>-26.795927260340829</v>
      </c>
      <c r="N63" s="712" t="str">
        <f t="shared" si="14"/>
        <v>***</v>
      </c>
      <c r="P63" s="296" t="s">
        <v>295</v>
      </c>
      <c r="Q63" s="4">
        <v>88.334762055518311</v>
      </c>
      <c r="R63" s="4">
        <v>64.480815262472106</v>
      </c>
      <c r="S63" s="4">
        <v>-23.853946793045779</v>
      </c>
      <c r="T63" s="713" t="str">
        <f t="shared" si="15"/>
        <v>***</v>
      </c>
    </row>
    <row r="64" spans="1:20" x14ac:dyDescent="0.2">
      <c r="A64" s="296" t="s">
        <v>73</v>
      </c>
      <c r="B64" s="4">
        <v>86.384104630012089</v>
      </c>
      <c r="C64" s="4">
        <v>76.951049421231886</v>
      </c>
      <c r="D64" s="4">
        <v>-9.4330552087802584</v>
      </c>
      <c r="E64" s="714" t="str">
        <f>IF(       0.001&lt;0.01,"***",IF(       0.001&lt;0.05,"**",IF(       0.001&lt;0.1,"*","NS")))</f>
        <v>***</v>
      </c>
      <c r="G64" s="296" t="s">
        <v>177</v>
      </c>
      <c r="H64" s="4">
        <v>86.384104630012089</v>
      </c>
      <c r="I64" s="4">
        <v>79.598413770544269</v>
      </c>
      <c r="J64" s="4">
        <v>-6.7856908594677643</v>
      </c>
      <c r="K64" s="715" t="str">
        <f>IF(       0.01&lt;0.01,"***",IF(       0.01&lt;0.05,"**",IF(       0.01&lt;0.1,"*","NS")))</f>
        <v>**</v>
      </c>
      <c r="L64" s="4">
        <v>64.560410054405935</v>
      </c>
      <c r="M64" s="4">
        <v>-21.82369457560598</v>
      </c>
      <c r="N64" s="716" t="str">
        <f t="shared" si="14"/>
        <v>***</v>
      </c>
      <c r="P64" s="296" t="s">
        <v>296</v>
      </c>
      <c r="Q64" s="4">
        <v>84.496466655421159</v>
      </c>
      <c r="R64" s="4">
        <v>64.560410054405935</v>
      </c>
      <c r="S64" s="4">
        <v>-19.936056601015181</v>
      </c>
      <c r="T64" s="717" t="str">
        <f t="shared" si="15"/>
        <v>***</v>
      </c>
    </row>
    <row r="65" spans="1:20" x14ac:dyDescent="0.2">
      <c r="A65" s="296" t="s">
        <v>74</v>
      </c>
      <c r="B65" s="4">
        <v>90.938790476034455</v>
      </c>
      <c r="C65" s="4">
        <v>73.872362702496346</v>
      </c>
      <c r="D65" s="4">
        <v>-17.066427773537878</v>
      </c>
      <c r="E65" s="718" t="str">
        <f>IF(       0&lt;0.01,"***",IF(       0&lt;0.05,"**",IF(       0&lt;0.1,"*","NS")))</f>
        <v>***</v>
      </c>
      <c r="G65" s="296" t="s">
        <v>178</v>
      </c>
      <c r="H65" s="4">
        <v>90.938790476034455</v>
      </c>
      <c r="I65" s="4">
        <v>78.548172665708222</v>
      </c>
      <c r="J65" s="4">
        <v>-12.390617810326699</v>
      </c>
      <c r="K65" s="719" t="str">
        <f>IF(       0&lt;0.01,"***",IF(       0&lt;0.05,"**",IF(       0&lt;0.1,"*","NS")))</f>
        <v>***</v>
      </c>
      <c r="L65" s="4">
        <v>59.486944636148444</v>
      </c>
      <c r="M65" s="4">
        <v>-31.451845839886577</v>
      </c>
      <c r="N65" s="720" t="str">
        <f t="shared" si="14"/>
        <v>***</v>
      </c>
      <c r="P65" s="296" t="s">
        <v>297</v>
      </c>
      <c r="Q65" s="4">
        <v>87.315457022363674</v>
      </c>
      <c r="R65" s="4">
        <v>59.486944636148444</v>
      </c>
      <c r="S65" s="4">
        <v>-27.82851238621576</v>
      </c>
      <c r="T65" s="721" t="str">
        <f t="shared" si="15"/>
        <v>***</v>
      </c>
    </row>
    <row r="66" spans="1:20" x14ac:dyDescent="0.2">
      <c r="A66" s="296" t="s">
        <v>12</v>
      </c>
      <c r="B66" s="4" t="s">
        <v>6067</v>
      </c>
      <c r="C66" s="4" t="s">
        <v>6067</v>
      </c>
      <c r="D66" s="4" t="s">
        <v>6067</v>
      </c>
      <c r="E66" s="4" t="s">
        <v>6067</v>
      </c>
      <c r="G66" s="296" t="s">
        <v>12</v>
      </c>
      <c r="H66" s="4" t="s">
        <v>6067</v>
      </c>
      <c r="I66" s="4" t="s">
        <v>6067</v>
      </c>
      <c r="J66" s="4" t="s">
        <v>6067</v>
      </c>
      <c r="K66" s="4" t="s">
        <v>6067</v>
      </c>
      <c r="L66" s="4" t="s">
        <v>6067</v>
      </c>
      <c r="M66" s="4" t="s">
        <v>6067</v>
      </c>
      <c r="N66" s="4" t="s">
        <v>6067</v>
      </c>
      <c r="P66" s="296" t="s">
        <v>12</v>
      </c>
      <c r="Q66" s="4" t="s">
        <v>6067</v>
      </c>
      <c r="R66" s="4" t="s">
        <v>6067</v>
      </c>
      <c r="S66" s="4" t="s">
        <v>6067</v>
      </c>
      <c r="T66" s="4" t="s">
        <v>6067</v>
      </c>
    </row>
    <row r="67" spans="1:20" x14ac:dyDescent="0.2">
      <c r="A67" s="296" t="s">
        <v>75</v>
      </c>
      <c r="B67" s="4">
        <v>40.05092667825776</v>
      </c>
      <c r="C67" s="4">
        <v>29.260064911051799</v>
      </c>
      <c r="D67" s="4">
        <v>-10.790861767205945</v>
      </c>
      <c r="E67" s="722" t="str">
        <f>IF(       0.003&lt;0.01,"***",IF(       0.003&lt;0.05,"**",IF(       0.003&lt;0.1,"*","NS")))</f>
        <v>***</v>
      </c>
      <c r="G67" s="296" t="s">
        <v>179</v>
      </c>
      <c r="H67" s="4">
        <v>40.05092667825776</v>
      </c>
      <c r="I67" s="4">
        <v>32.899980599862197</v>
      </c>
      <c r="J67" s="4">
        <v>-7.1509460783956511</v>
      </c>
      <c r="K67" s="723" t="str">
        <f>IF(       0.03&lt;0.01,"***",IF(       0.03&lt;0.05,"**",IF(       0.03&lt;0.1,"*","NS")))</f>
        <v>**</v>
      </c>
      <c r="L67" s="4">
        <v>18.113907588284999</v>
      </c>
      <c r="M67" s="4">
        <v>-21.937019089972654</v>
      </c>
      <c r="N67" s="724" t="str">
        <f>IF(       0.002&lt;0.01,"***",IF(       0.002&lt;0.05,"**",IF(       0.002&lt;0.1,"*","NS")))</f>
        <v>***</v>
      </c>
      <c r="P67" s="296" t="s">
        <v>298</v>
      </c>
      <c r="Q67" s="4">
        <v>38.754066195571738</v>
      </c>
      <c r="R67" s="4">
        <v>18.113907588284999</v>
      </c>
      <c r="S67" s="4">
        <v>-20.640158607286395</v>
      </c>
      <c r="T67" s="725" t="str">
        <f>IF(       0.002&lt;0.01,"***",IF(       0.002&lt;0.05,"**",IF(       0.002&lt;0.1,"*","NS")))</f>
        <v>***</v>
      </c>
    </row>
    <row r="68" spans="1:20" x14ac:dyDescent="0.2">
      <c r="A68" s="296" t="s">
        <v>76</v>
      </c>
      <c r="B68" s="4">
        <v>90.53494315264409</v>
      </c>
      <c r="C68" s="4">
        <v>70.903292322192215</v>
      </c>
      <c r="D68" s="4">
        <v>-19.631650830452166</v>
      </c>
      <c r="E68" s="726" t="str">
        <f t="shared" ref="E68:E74" si="16">IF(       0&lt;0.01,"***",IF(       0&lt;0.05,"**",IF(       0&lt;0.1,"*","NS")))</f>
        <v>***</v>
      </c>
      <c r="G68" s="296" t="s">
        <v>180</v>
      </c>
      <c r="H68" s="4">
        <v>90.53494315264409</v>
      </c>
      <c r="I68" s="4">
        <v>77.989335465214154</v>
      </c>
      <c r="J68" s="4">
        <v>-12.545607687429989</v>
      </c>
      <c r="K68" s="727" t="str">
        <f t="shared" ref="K68:K74" si="17">IF(       0&lt;0.01,"***",IF(       0&lt;0.05,"**",IF(       0&lt;0.1,"*","NS")))</f>
        <v>***</v>
      </c>
      <c r="L68" s="4">
        <v>59.865712750553683</v>
      </c>
      <c r="M68" s="4">
        <v>-30.669230402091134</v>
      </c>
      <c r="N68" s="728" t="str">
        <f t="shared" ref="N68:N74" si="18">IF(       0&lt;0.01,"***",IF(       0&lt;0.05,"**",IF(       0&lt;0.1,"*","NS")))</f>
        <v>***</v>
      </c>
      <c r="P68" s="296" t="s">
        <v>299</v>
      </c>
      <c r="Q68" s="4">
        <v>86.063519974006738</v>
      </c>
      <c r="R68" s="4">
        <v>59.865712750553683</v>
      </c>
      <c r="S68" s="4">
        <v>-26.19780722345336</v>
      </c>
      <c r="T68" s="729" t="str">
        <f t="shared" ref="T68:T74" si="19">IF(       0&lt;0.01,"***",IF(       0&lt;0.05,"**",IF(       0&lt;0.1,"*","NS")))</f>
        <v>***</v>
      </c>
    </row>
    <row r="69" spans="1:20" x14ac:dyDescent="0.2">
      <c r="A69" s="296" t="s">
        <v>77</v>
      </c>
      <c r="B69" s="4">
        <v>92.925410657653572</v>
      </c>
      <c r="C69" s="4">
        <v>76.861026596185084</v>
      </c>
      <c r="D69" s="4">
        <v>-16.064384061468349</v>
      </c>
      <c r="E69" s="730" t="str">
        <f t="shared" si="16"/>
        <v>***</v>
      </c>
      <c r="G69" s="296" t="s">
        <v>181</v>
      </c>
      <c r="H69" s="4">
        <v>92.925410657653572</v>
      </c>
      <c r="I69" s="4">
        <v>81.936872034404104</v>
      </c>
      <c r="J69" s="4">
        <v>-10.988538623249582</v>
      </c>
      <c r="K69" s="731" t="str">
        <f t="shared" si="17"/>
        <v>***</v>
      </c>
      <c r="L69" s="4">
        <v>60.228038143221063</v>
      </c>
      <c r="M69" s="4">
        <v>-32.697372514432388</v>
      </c>
      <c r="N69" s="732" t="str">
        <f t="shared" si="18"/>
        <v>***</v>
      </c>
      <c r="P69" s="296" t="s">
        <v>300</v>
      </c>
      <c r="Q69" s="4">
        <v>88.678736307227751</v>
      </c>
      <c r="R69" s="4">
        <v>60.228038143221063</v>
      </c>
      <c r="S69" s="4">
        <v>-28.450698164006788</v>
      </c>
      <c r="T69" s="733" t="str">
        <f t="shared" si="19"/>
        <v>***</v>
      </c>
    </row>
    <row r="70" spans="1:20" x14ac:dyDescent="0.2">
      <c r="A70" s="296" t="s">
        <v>78</v>
      </c>
      <c r="B70" s="4">
        <v>91.326655206123291</v>
      </c>
      <c r="C70" s="4">
        <v>76.045347839570596</v>
      </c>
      <c r="D70" s="4">
        <v>-15.281307366552722</v>
      </c>
      <c r="E70" s="734" t="str">
        <f t="shared" si="16"/>
        <v>***</v>
      </c>
      <c r="G70" s="296" t="s">
        <v>182</v>
      </c>
      <c r="H70" s="4">
        <v>91.326655206123291</v>
      </c>
      <c r="I70" s="4">
        <v>77.511633459777769</v>
      </c>
      <c r="J70" s="4">
        <v>-13.81502174634586</v>
      </c>
      <c r="K70" s="735" t="str">
        <f t="shared" si="17"/>
        <v>***</v>
      </c>
      <c r="L70" s="4">
        <v>72.066331551260717</v>
      </c>
      <c r="M70" s="4">
        <v>-19.260323654862461</v>
      </c>
      <c r="N70" s="736" t="str">
        <f t="shared" si="18"/>
        <v>***</v>
      </c>
      <c r="P70" s="296" t="s">
        <v>301</v>
      </c>
      <c r="Q70" s="4">
        <v>87.711786112186658</v>
      </c>
      <c r="R70" s="4">
        <v>72.066331551260717</v>
      </c>
      <c r="S70" s="4">
        <v>-15.645454560926272</v>
      </c>
      <c r="T70" s="737" t="str">
        <f t="shared" si="19"/>
        <v>***</v>
      </c>
    </row>
    <row r="71" spans="1:20" x14ac:dyDescent="0.2">
      <c r="A71" s="296" t="s">
        <v>79</v>
      </c>
      <c r="B71" s="4">
        <v>94.562945923804477</v>
      </c>
      <c r="C71" s="4">
        <v>79.039398589687281</v>
      </c>
      <c r="D71" s="4">
        <v>-15.523547334117083</v>
      </c>
      <c r="E71" s="738" t="str">
        <f t="shared" si="16"/>
        <v>***</v>
      </c>
      <c r="G71" s="296" t="s">
        <v>183</v>
      </c>
      <c r="H71" s="4">
        <v>94.562945923804477</v>
      </c>
      <c r="I71" s="4">
        <v>83.555186177247649</v>
      </c>
      <c r="J71" s="4">
        <v>-11.007759746556593</v>
      </c>
      <c r="K71" s="739" t="str">
        <f t="shared" si="17"/>
        <v>***</v>
      </c>
      <c r="L71" s="4">
        <v>67.859355872240172</v>
      </c>
      <c r="M71" s="4">
        <v>-26.703590051564436</v>
      </c>
      <c r="N71" s="740" t="str">
        <f t="shared" si="18"/>
        <v>***</v>
      </c>
      <c r="P71" s="296" t="s">
        <v>302</v>
      </c>
      <c r="Q71" s="4">
        <v>91.850437708992388</v>
      </c>
      <c r="R71" s="4">
        <v>67.859355872240172</v>
      </c>
      <c r="S71" s="4">
        <v>-23.991081836752389</v>
      </c>
      <c r="T71" s="741" t="str">
        <f t="shared" si="19"/>
        <v>***</v>
      </c>
    </row>
    <row r="72" spans="1:20" x14ac:dyDescent="0.2">
      <c r="A72" s="296" t="s">
        <v>80</v>
      </c>
      <c r="B72" s="4">
        <v>92.687226698361798</v>
      </c>
      <c r="C72" s="4">
        <v>77.445755944029045</v>
      </c>
      <c r="D72" s="4">
        <v>-15.241470754332743</v>
      </c>
      <c r="E72" s="742" t="str">
        <f t="shared" si="16"/>
        <v>***</v>
      </c>
      <c r="G72" s="296" t="s">
        <v>184</v>
      </c>
      <c r="H72" s="4">
        <v>92.687226698361798</v>
      </c>
      <c r="I72" s="4">
        <v>81.560573506189556</v>
      </c>
      <c r="J72" s="4">
        <v>-11.126653192172169</v>
      </c>
      <c r="K72" s="743" t="str">
        <f t="shared" si="17"/>
        <v>***</v>
      </c>
      <c r="L72" s="4">
        <v>65.03371820700994</v>
      </c>
      <c r="M72" s="4">
        <v>-27.653508491351587</v>
      </c>
      <c r="N72" s="744" t="str">
        <f t="shared" si="18"/>
        <v>***</v>
      </c>
      <c r="P72" s="296" t="s">
        <v>303</v>
      </c>
      <c r="Q72" s="4">
        <v>90.043580899496092</v>
      </c>
      <c r="R72" s="4">
        <v>65.03371820700994</v>
      </c>
      <c r="S72" s="4">
        <v>-25.009862692486333</v>
      </c>
      <c r="T72" s="745" t="str">
        <f t="shared" si="19"/>
        <v>***</v>
      </c>
    </row>
    <row r="73" spans="1:20" x14ac:dyDescent="0.2">
      <c r="A73" s="296" t="s">
        <v>81</v>
      </c>
      <c r="B73" s="4">
        <v>88.759786997962323</v>
      </c>
      <c r="C73" s="4">
        <v>72.536002423376445</v>
      </c>
      <c r="D73" s="4">
        <v>-16.223784574586283</v>
      </c>
      <c r="E73" s="746" t="str">
        <f t="shared" si="16"/>
        <v>***</v>
      </c>
      <c r="G73" s="296" t="s">
        <v>185</v>
      </c>
      <c r="H73" s="4">
        <v>88.759786997962323</v>
      </c>
      <c r="I73" s="4">
        <v>78.459432416346061</v>
      </c>
      <c r="J73" s="4">
        <v>-10.300354581616286</v>
      </c>
      <c r="K73" s="747" t="str">
        <f t="shared" si="17"/>
        <v>***</v>
      </c>
      <c r="L73" s="4">
        <v>59.218403452892581</v>
      </c>
      <c r="M73" s="4">
        <v>-29.54138354506992</v>
      </c>
      <c r="N73" s="748" t="str">
        <f t="shared" si="18"/>
        <v>***</v>
      </c>
      <c r="P73" s="296" t="s">
        <v>304</v>
      </c>
      <c r="Q73" s="4">
        <v>85.259088700744755</v>
      </c>
      <c r="R73" s="4">
        <v>59.218403452892581</v>
      </c>
      <c r="S73" s="4">
        <v>-26.040685247851535</v>
      </c>
      <c r="T73" s="749" t="str">
        <f t="shared" si="19"/>
        <v>***</v>
      </c>
    </row>
    <row r="74" spans="1:20" x14ac:dyDescent="0.2">
      <c r="A74" s="296" t="s">
        <v>82</v>
      </c>
      <c r="B74" s="4">
        <v>89.714476658569481</v>
      </c>
      <c r="C74" s="4">
        <v>73.942782142266793</v>
      </c>
      <c r="D74" s="4">
        <v>-15.771694516302718</v>
      </c>
      <c r="E74" s="750" t="str">
        <f t="shared" si="16"/>
        <v>***</v>
      </c>
      <c r="G74" s="296" t="s">
        <v>186</v>
      </c>
      <c r="H74" s="4">
        <v>89.714476658569481</v>
      </c>
      <c r="I74" s="4">
        <v>76.446003692861794</v>
      </c>
      <c r="J74" s="4">
        <v>-13.268472965707719</v>
      </c>
      <c r="K74" s="751" t="str">
        <f t="shared" si="17"/>
        <v>***</v>
      </c>
      <c r="L74" s="4">
        <v>65.662360489025843</v>
      </c>
      <c r="M74" s="4">
        <v>-24.052116169543503</v>
      </c>
      <c r="N74" s="752" t="str">
        <f t="shared" si="18"/>
        <v>***</v>
      </c>
      <c r="P74" s="296" t="s">
        <v>305</v>
      </c>
      <c r="Q74" s="4">
        <v>86.10394206206864</v>
      </c>
      <c r="R74" s="4">
        <v>65.662360489025843</v>
      </c>
      <c r="S74" s="4">
        <v>-20.441581573042001</v>
      </c>
      <c r="T74" s="753" t="str">
        <f t="shared" si="19"/>
        <v>***</v>
      </c>
    </row>
    <row r="75" spans="1:20" x14ac:dyDescent="0.2">
      <c r="A75" s="296" t="s">
        <v>5835</v>
      </c>
      <c r="B75" s="4">
        <v>89.823609510461125</v>
      </c>
      <c r="C75" s="4">
        <v>74.727410883877596</v>
      </c>
      <c r="D75" s="4">
        <v>-15.096198626583696</v>
      </c>
      <c r="E75" s="754" t="str">
        <f>IF(       0&lt;0.01,"***",IF(       0&lt;0.05,"**",IF(       0&lt;0.1,"*","NS")))</f>
        <v>***</v>
      </c>
      <c r="G75" s="296" t="s">
        <v>5835</v>
      </c>
      <c r="H75" s="4">
        <v>89.823609510461125</v>
      </c>
      <c r="I75" s="4">
        <v>78.97947707440143</v>
      </c>
      <c r="J75" s="4">
        <v>-10.844132436059125</v>
      </c>
      <c r="K75" s="755" t="str">
        <f>IF(       0&lt;0.01,"***",IF(       0&lt;0.05,"**",IF(       0&lt;0.1,"*","NS")))</f>
        <v>***</v>
      </c>
      <c r="L75" s="4">
        <v>62.585897481457209</v>
      </c>
      <c r="M75" s="4">
        <v>-27.237712029005646</v>
      </c>
      <c r="N75" s="756" t="str">
        <f>IF(       0&lt;0.01,"***",IF(       0&lt;0.05,"**",IF(       0&lt;0.1,"*","NS")))</f>
        <v>***</v>
      </c>
      <c r="P75" s="296" t="s">
        <v>5835</v>
      </c>
      <c r="Q75" s="4">
        <v>86.664400679627775</v>
      </c>
      <c r="R75" s="4">
        <v>62.585897481457209</v>
      </c>
      <c r="S75" s="4">
        <v>-24.078503198169177</v>
      </c>
      <c r="T75" s="757" t="str">
        <f>IF(       0&lt;0.01,"***",IF(       0&lt;0.05,"**",IF(       0&lt;0.1,"*","NS")))</f>
        <v>***</v>
      </c>
    </row>
    <row r="77" spans="1:20" x14ac:dyDescent="0.2">
      <c r="A77" s="296" t="s">
        <v>83</v>
      </c>
      <c r="G77" s="296" t="s">
        <v>187</v>
      </c>
      <c r="P77" s="296" t="s">
        <v>306</v>
      </c>
    </row>
    <row r="78" spans="1:20" s="3" customFormat="1" x14ac:dyDescent="0.2">
      <c r="A78" s="5190" t="s">
        <v>84</v>
      </c>
      <c r="B78" s="5191" t="s">
        <v>85</v>
      </c>
      <c r="C78" s="5192" t="s">
        <v>86</v>
      </c>
      <c r="D78" s="5193" t="s">
        <v>87</v>
      </c>
      <c r="E78" s="5194" t="s">
        <v>88</v>
      </c>
      <c r="G78" s="5195" t="s">
        <v>188</v>
      </c>
      <c r="H78" s="5196" t="s">
        <v>189</v>
      </c>
      <c r="I78" s="5197" t="s">
        <v>190</v>
      </c>
      <c r="J78" s="5198" t="s">
        <v>191</v>
      </c>
      <c r="K78" s="5199" t="s">
        <v>192</v>
      </c>
      <c r="L78" s="5200" t="s">
        <v>220</v>
      </c>
      <c r="M78" s="5201" t="s">
        <v>221</v>
      </c>
      <c r="N78" s="5202" t="s">
        <v>222</v>
      </c>
      <c r="P78" s="5203" t="s">
        <v>307</v>
      </c>
      <c r="Q78" s="5204" t="s">
        <v>308</v>
      </c>
      <c r="R78" s="5205" t="s">
        <v>309</v>
      </c>
      <c r="S78" s="5206" t="s">
        <v>310</v>
      </c>
      <c r="T78" s="5207" t="s">
        <v>311</v>
      </c>
    </row>
    <row r="79" spans="1:20" x14ac:dyDescent="0.2">
      <c r="A79" s="296" t="s">
        <v>89</v>
      </c>
      <c r="B79" s="4" t="s">
        <v>6067</v>
      </c>
      <c r="C79" s="4" t="s">
        <v>6067</v>
      </c>
      <c r="D79" s="4" t="s">
        <v>6067</v>
      </c>
      <c r="E79" s="4" t="s">
        <v>6067</v>
      </c>
      <c r="G79" s="296" t="s">
        <v>193</v>
      </c>
      <c r="H79" s="4" t="s">
        <v>6067</v>
      </c>
      <c r="I79" s="4" t="s">
        <v>6067</v>
      </c>
      <c r="J79" s="4" t="s">
        <v>6067</v>
      </c>
      <c r="K79" s="4" t="s">
        <v>6067</v>
      </c>
      <c r="L79" s="4" t="s">
        <v>6067</v>
      </c>
      <c r="M79" s="4" t="s">
        <v>6067</v>
      </c>
      <c r="N79" s="4" t="s">
        <v>6067</v>
      </c>
      <c r="P79" s="296" t="s">
        <v>312</v>
      </c>
      <c r="Q79" s="4" t="s">
        <v>6067</v>
      </c>
      <c r="R79" s="4" t="s">
        <v>6067</v>
      </c>
      <c r="S79" s="4" t="s">
        <v>6067</v>
      </c>
      <c r="T79" s="4" t="s">
        <v>6067</v>
      </c>
    </row>
    <row r="80" spans="1:20" x14ac:dyDescent="0.2">
      <c r="A80" s="296" t="s">
        <v>90</v>
      </c>
      <c r="B80" s="4">
        <v>95.056477126471066</v>
      </c>
      <c r="C80" s="4">
        <v>73.812577185287438</v>
      </c>
      <c r="D80" s="4">
        <v>-21.243899941183855</v>
      </c>
      <c r="E80" s="758" t="str">
        <f>IF(       0&lt;0.01,"***",IF(       0&lt;0.05,"**",IF(       0&lt;0.1,"*","NS")))</f>
        <v>***</v>
      </c>
      <c r="G80" s="296" t="s">
        <v>194</v>
      </c>
      <c r="H80" s="4">
        <v>95.056477126471066</v>
      </c>
      <c r="I80" s="4">
        <v>79.081605223174336</v>
      </c>
      <c r="J80" s="4">
        <v>-15.974871903296735</v>
      </c>
      <c r="K80" s="759" t="str">
        <f>IF(       0&lt;0.01,"***",IF(       0&lt;0.05,"**",IF(       0&lt;0.1,"*","NS")))</f>
        <v>***</v>
      </c>
      <c r="L80" s="4">
        <v>59.655846359857257</v>
      </c>
      <c r="M80" s="4">
        <v>-35.400630766613958</v>
      </c>
      <c r="N80" s="760" t="str">
        <f>IF(       0&lt;0.01,"***",IF(       0&lt;0.05,"**",IF(       0&lt;0.1,"*","NS")))</f>
        <v>***</v>
      </c>
      <c r="P80" s="296" t="s">
        <v>313</v>
      </c>
      <c r="Q80" s="4">
        <v>91.317984788505029</v>
      </c>
      <c r="R80" s="4">
        <v>59.655846359857257</v>
      </c>
      <c r="S80" s="4">
        <v>-31.662138428647669</v>
      </c>
      <c r="T80" s="761" t="str">
        <f>IF(       0&lt;0.01,"***",IF(       0&lt;0.05,"**",IF(       0&lt;0.1,"*","NS")))</f>
        <v>***</v>
      </c>
    </row>
    <row r="81" spans="1:20" x14ac:dyDescent="0.2">
      <c r="A81" s="296" t="s">
        <v>91</v>
      </c>
      <c r="B81" s="4" t="s">
        <v>6067</v>
      </c>
      <c r="C81" s="4" t="s">
        <v>6067</v>
      </c>
      <c r="D81" s="4" t="s">
        <v>6067</v>
      </c>
      <c r="E81" s="4" t="s">
        <v>6067</v>
      </c>
      <c r="G81" s="296" t="s">
        <v>195</v>
      </c>
      <c r="H81" s="4" t="s">
        <v>6067</v>
      </c>
      <c r="I81" s="4" t="s">
        <v>6067</v>
      </c>
      <c r="J81" s="4" t="s">
        <v>6067</v>
      </c>
      <c r="K81" s="4" t="s">
        <v>6067</v>
      </c>
      <c r="L81" s="4" t="s">
        <v>6067</v>
      </c>
      <c r="M81" s="4" t="s">
        <v>6067</v>
      </c>
      <c r="N81" s="4" t="s">
        <v>6067</v>
      </c>
      <c r="P81" s="296" t="s">
        <v>314</v>
      </c>
      <c r="Q81" s="4" t="s">
        <v>6067</v>
      </c>
      <c r="R81" s="4" t="s">
        <v>6067</v>
      </c>
      <c r="S81" s="4" t="s">
        <v>6067</v>
      </c>
      <c r="T81" s="4" t="s">
        <v>6067</v>
      </c>
    </row>
    <row r="82" spans="1:20" x14ac:dyDescent="0.2">
      <c r="A82" s="296" t="s">
        <v>92</v>
      </c>
      <c r="B82" s="4" t="s">
        <v>6067</v>
      </c>
      <c r="C82" s="4" t="s">
        <v>6067</v>
      </c>
      <c r="D82" s="4" t="s">
        <v>6067</v>
      </c>
      <c r="E82" s="4" t="s">
        <v>6067</v>
      </c>
      <c r="G82" s="296" t="s">
        <v>196</v>
      </c>
      <c r="H82" s="4" t="s">
        <v>6067</v>
      </c>
      <c r="I82" s="4" t="s">
        <v>6067</v>
      </c>
      <c r="J82" s="4" t="s">
        <v>6067</v>
      </c>
      <c r="K82" s="4" t="s">
        <v>6067</v>
      </c>
      <c r="L82" s="4" t="s">
        <v>6067</v>
      </c>
      <c r="M82" s="4" t="s">
        <v>6067</v>
      </c>
      <c r="N82" s="4" t="s">
        <v>6067</v>
      </c>
      <c r="P82" s="296" t="s">
        <v>315</v>
      </c>
      <c r="Q82" s="4" t="s">
        <v>6067</v>
      </c>
      <c r="R82" s="4" t="s">
        <v>6067</v>
      </c>
      <c r="S82" s="4" t="s">
        <v>6067</v>
      </c>
      <c r="T82" s="4" t="s">
        <v>6067</v>
      </c>
    </row>
    <row r="83" spans="1:20" x14ac:dyDescent="0.2">
      <c r="A83" s="296" t="s">
        <v>93</v>
      </c>
      <c r="B83" s="4" t="s">
        <v>6067</v>
      </c>
      <c r="C83" s="4" t="s">
        <v>6067</v>
      </c>
      <c r="D83" s="4" t="s">
        <v>6067</v>
      </c>
      <c r="E83" s="4" t="s">
        <v>6067</v>
      </c>
      <c r="G83" s="296" t="s">
        <v>197</v>
      </c>
      <c r="H83" s="4" t="s">
        <v>6067</v>
      </c>
      <c r="I83" s="4" t="s">
        <v>6067</v>
      </c>
      <c r="J83" s="4" t="s">
        <v>6067</v>
      </c>
      <c r="K83" s="4" t="s">
        <v>6067</v>
      </c>
      <c r="L83" s="4" t="s">
        <v>6067</v>
      </c>
      <c r="M83" s="4" t="s">
        <v>6067</v>
      </c>
      <c r="N83" s="4" t="s">
        <v>6067</v>
      </c>
      <c r="P83" s="296" t="s">
        <v>316</v>
      </c>
      <c r="Q83" s="4" t="s">
        <v>6067</v>
      </c>
      <c r="R83" s="4" t="s">
        <v>6067</v>
      </c>
      <c r="S83" s="4" t="s">
        <v>6067</v>
      </c>
      <c r="T83" s="4" t="s">
        <v>6067</v>
      </c>
    </row>
    <row r="84" spans="1:20" x14ac:dyDescent="0.2">
      <c r="A84" s="296" t="s">
        <v>94</v>
      </c>
      <c r="B84" s="4" t="s">
        <v>6067</v>
      </c>
      <c r="C84" s="4" t="s">
        <v>6067</v>
      </c>
      <c r="D84" s="4" t="s">
        <v>6067</v>
      </c>
      <c r="E84" s="4" t="s">
        <v>6067</v>
      </c>
      <c r="G84" s="296" t="s">
        <v>198</v>
      </c>
      <c r="H84" s="4" t="s">
        <v>6067</v>
      </c>
      <c r="I84" s="4" t="s">
        <v>6067</v>
      </c>
      <c r="J84" s="4" t="s">
        <v>6067</v>
      </c>
      <c r="K84" s="4" t="s">
        <v>6067</v>
      </c>
      <c r="L84" s="4" t="s">
        <v>6067</v>
      </c>
      <c r="M84" s="4" t="s">
        <v>6067</v>
      </c>
      <c r="N84" s="4" t="s">
        <v>6067</v>
      </c>
      <c r="P84" s="296" t="s">
        <v>317</v>
      </c>
      <c r="Q84" s="4" t="s">
        <v>6067</v>
      </c>
      <c r="R84" s="4" t="s">
        <v>6067</v>
      </c>
      <c r="S84" s="4" t="s">
        <v>6067</v>
      </c>
      <c r="T84" s="4" t="s">
        <v>6067</v>
      </c>
    </row>
    <row r="85" spans="1:20" x14ac:dyDescent="0.2">
      <c r="A85" s="296" t="s">
        <v>95</v>
      </c>
      <c r="B85" s="4">
        <v>96.442769192272067</v>
      </c>
      <c r="C85" s="4">
        <v>92.643791735190632</v>
      </c>
      <c r="D85" s="4">
        <v>-3.7989774570813748</v>
      </c>
      <c r="E85" s="762" t="str">
        <f>IF(       0.012&lt;0.01,"***",IF(       0.012&lt;0.05,"**",IF(       0.012&lt;0.1,"*","NS")))</f>
        <v>**</v>
      </c>
      <c r="G85" s="296" t="s">
        <v>199</v>
      </c>
      <c r="H85" s="4">
        <v>96.442769192272067</v>
      </c>
      <c r="I85" s="4">
        <v>92.530832765044423</v>
      </c>
      <c r="J85" s="4">
        <v>-3.9119364272275479</v>
      </c>
      <c r="K85" s="763" t="str">
        <f>IF(       0.016&lt;0.01,"***",IF(       0.016&lt;0.05,"**",IF(       0.016&lt;0.1,"*","NS")))</f>
        <v>**</v>
      </c>
      <c r="L85" s="4">
        <v>93.167044123859597</v>
      </c>
      <c r="M85" s="4">
        <v>-3.2757250684124877</v>
      </c>
      <c r="N85" s="764" t="str">
        <f>IF(       0.219&lt;0.01,"***",IF(       0.219&lt;0.05,"**",IF(       0.219&lt;0.1,"*","NS")))</f>
        <v>NS</v>
      </c>
      <c r="P85" s="296" t="s">
        <v>318</v>
      </c>
      <c r="Q85" s="4">
        <v>95.862733573237023</v>
      </c>
      <c r="R85" s="4">
        <v>93.167044123859597</v>
      </c>
      <c r="S85" s="4">
        <v>-2.6956894493774928</v>
      </c>
      <c r="T85" s="765" t="str">
        <f>IF(       0.303&lt;0.01,"***",IF(       0.303&lt;0.05,"**",IF(       0.303&lt;0.1,"*","NS")))</f>
        <v>NS</v>
      </c>
    </row>
    <row r="86" spans="1:20" x14ac:dyDescent="0.2">
      <c r="A86" s="296" t="s">
        <v>96</v>
      </c>
      <c r="B86" s="4" t="s">
        <v>6067</v>
      </c>
      <c r="C86" s="4" t="s">
        <v>6067</v>
      </c>
      <c r="D86" s="4" t="s">
        <v>6067</v>
      </c>
      <c r="E86" s="4" t="s">
        <v>6067</v>
      </c>
      <c r="G86" s="296" t="s">
        <v>200</v>
      </c>
      <c r="H86" s="4" t="s">
        <v>6067</v>
      </c>
      <c r="I86" s="4" t="s">
        <v>6067</v>
      </c>
      <c r="J86" s="4" t="s">
        <v>6067</v>
      </c>
      <c r="K86" s="4" t="s">
        <v>6067</v>
      </c>
      <c r="L86" s="4" t="s">
        <v>6067</v>
      </c>
      <c r="M86" s="4" t="s">
        <v>6067</v>
      </c>
      <c r="N86" s="4" t="s">
        <v>6067</v>
      </c>
      <c r="P86" s="296" t="s">
        <v>319</v>
      </c>
      <c r="Q86" s="4" t="s">
        <v>6067</v>
      </c>
      <c r="R86" s="4" t="s">
        <v>6067</v>
      </c>
      <c r="S86" s="4" t="s">
        <v>6067</v>
      </c>
      <c r="T86" s="4" t="s">
        <v>6067</v>
      </c>
    </row>
    <row r="87" spans="1:20" x14ac:dyDescent="0.2">
      <c r="A87" s="296" t="s">
        <v>97</v>
      </c>
      <c r="B87" s="4" t="s">
        <v>6067</v>
      </c>
      <c r="C87" s="4" t="s">
        <v>6067</v>
      </c>
      <c r="D87" s="4" t="s">
        <v>6067</v>
      </c>
      <c r="E87" s="4" t="s">
        <v>6067</v>
      </c>
      <c r="G87" s="296" t="s">
        <v>201</v>
      </c>
      <c r="H87" s="4" t="s">
        <v>6067</v>
      </c>
      <c r="I87" s="4" t="s">
        <v>6067</v>
      </c>
      <c r="J87" s="4" t="s">
        <v>6067</v>
      </c>
      <c r="K87" s="4" t="s">
        <v>6067</v>
      </c>
      <c r="L87" s="4" t="s">
        <v>6067</v>
      </c>
      <c r="M87" s="4" t="s">
        <v>6067</v>
      </c>
      <c r="N87" s="4" t="s">
        <v>6067</v>
      </c>
      <c r="P87" s="296" t="s">
        <v>320</v>
      </c>
      <c r="Q87" s="4" t="s">
        <v>6067</v>
      </c>
      <c r="R87" s="4" t="s">
        <v>6067</v>
      </c>
      <c r="S87" s="4" t="s">
        <v>6067</v>
      </c>
      <c r="T87" s="4" t="s">
        <v>6067</v>
      </c>
    </row>
    <row r="88" spans="1:20" x14ac:dyDescent="0.2">
      <c r="A88" s="296" t="s">
        <v>98</v>
      </c>
      <c r="B88" s="4" t="s">
        <v>6067</v>
      </c>
      <c r="C88" s="4" t="s">
        <v>6067</v>
      </c>
      <c r="D88" s="4" t="s">
        <v>6067</v>
      </c>
      <c r="E88" s="4" t="s">
        <v>6067</v>
      </c>
      <c r="G88" s="296" t="s">
        <v>202</v>
      </c>
      <c r="H88" s="4" t="s">
        <v>6067</v>
      </c>
      <c r="I88" s="4" t="s">
        <v>6067</v>
      </c>
      <c r="J88" s="4" t="s">
        <v>6067</v>
      </c>
      <c r="K88" s="4" t="s">
        <v>6067</v>
      </c>
      <c r="L88" s="4" t="s">
        <v>6067</v>
      </c>
      <c r="M88" s="4" t="s">
        <v>6067</v>
      </c>
      <c r="N88" s="4" t="s">
        <v>6067</v>
      </c>
      <c r="P88" s="296" t="s">
        <v>321</v>
      </c>
      <c r="Q88" s="4" t="s">
        <v>6067</v>
      </c>
      <c r="R88" s="4" t="s">
        <v>6067</v>
      </c>
      <c r="S88" s="4" t="s">
        <v>6067</v>
      </c>
      <c r="T88" s="4" t="s">
        <v>6067</v>
      </c>
    </row>
    <row r="89" spans="1:20" x14ac:dyDescent="0.2">
      <c r="A89" s="296" t="s">
        <v>99</v>
      </c>
      <c r="B89" s="4">
        <v>96.937178269308077</v>
      </c>
      <c r="C89" s="4">
        <v>90.223689777735771</v>
      </c>
      <c r="D89" s="4">
        <v>-6.7134884915722823</v>
      </c>
      <c r="E89" s="766" t="str">
        <f>IF(       0.071&lt;0.01,"***",IF(       0.071&lt;0.05,"**",IF(       0.071&lt;0.1,"*","NS")))</f>
        <v>*</v>
      </c>
      <c r="G89" s="296" t="s">
        <v>203</v>
      </c>
      <c r="H89" s="4">
        <v>96.937178269308077</v>
      </c>
      <c r="I89" s="4">
        <v>92.778547564570431</v>
      </c>
      <c r="J89" s="4">
        <v>-4.1586307047376954</v>
      </c>
      <c r="K89" s="767" t="str">
        <f>IF(       0.169&lt;0.01,"***",IF(       0.169&lt;0.05,"**",IF(       0.169&lt;0.1,"*","NS")))</f>
        <v>NS</v>
      </c>
      <c r="L89" s="4">
        <v>83.425054371993753</v>
      </c>
      <c r="M89" s="4">
        <v>-13.51212389731422</v>
      </c>
      <c r="N89" s="768" t="str">
        <f>IF(       0.071&lt;0.01,"***",IF(       0.071&lt;0.05,"**",IF(       0.071&lt;0.1,"*","NS")))</f>
        <v>*</v>
      </c>
      <c r="P89" s="296" t="s">
        <v>322</v>
      </c>
      <c r="Q89" s="4">
        <v>96.191569895322445</v>
      </c>
      <c r="R89" s="4">
        <v>83.425054371993753</v>
      </c>
      <c r="S89" s="4">
        <v>-12.766515523328597</v>
      </c>
      <c r="T89" s="769" t="str">
        <f>IF(       0.076&lt;0.01,"***",IF(       0.076&lt;0.05,"**",IF(       0.076&lt;0.1,"*","NS")))</f>
        <v>*</v>
      </c>
    </row>
    <row r="90" spans="1:20" x14ac:dyDescent="0.2">
      <c r="A90" s="296" t="s">
        <v>100</v>
      </c>
      <c r="B90" s="4" t="s">
        <v>6067</v>
      </c>
      <c r="C90" s="4" t="s">
        <v>6067</v>
      </c>
      <c r="D90" s="4" t="s">
        <v>6067</v>
      </c>
      <c r="E90" s="4" t="s">
        <v>6067</v>
      </c>
      <c r="G90" s="296" t="s">
        <v>204</v>
      </c>
      <c r="H90" s="4" t="s">
        <v>6067</v>
      </c>
      <c r="I90" s="4" t="s">
        <v>6067</v>
      </c>
      <c r="J90" s="4" t="s">
        <v>6067</v>
      </c>
      <c r="K90" s="4" t="s">
        <v>6067</v>
      </c>
      <c r="L90" s="4" t="s">
        <v>6067</v>
      </c>
      <c r="M90" s="4" t="s">
        <v>6067</v>
      </c>
      <c r="N90" s="4" t="s">
        <v>6067</v>
      </c>
      <c r="P90" s="296" t="s">
        <v>323</v>
      </c>
      <c r="Q90" s="4" t="s">
        <v>6067</v>
      </c>
      <c r="R90" s="4" t="s">
        <v>6067</v>
      </c>
      <c r="S90" s="4" t="s">
        <v>6067</v>
      </c>
      <c r="T90" s="4" t="s">
        <v>6067</v>
      </c>
    </row>
    <row r="91" spans="1:20" x14ac:dyDescent="0.2">
      <c r="A91" s="296" t="s">
        <v>101</v>
      </c>
      <c r="B91" s="4" t="s">
        <v>6067</v>
      </c>
      <c r="C91" s="4" t="s">
        <v>6067</v>
      </c>
      <c r="D91" s="4" t="s">
        <v>6067</v>
      </c>
      <c r="E91" s="4" t="s">
        <v>6067</v>
      </c>
      <c r="G91" s="296" t="s">
        <v>205</v>
      </c>
      <c r="H91" s="4" t="s">
        <v>6067</v>
      </c>
      <c r="I91" s="4" t="s">
        <v>6067</v>
      </c>
      <c r="J91" s="4" t="s">
        <v>6067</v>
      </c>
      <c r="K91" s="4" t="s">
        <v>6067</v>
      </c>
      <c r="L91" s="4" t="s">
        <v>6067</v>
      </c>
      <c r="M91" s="4" t="s">
        <v>6067</v>
      </c>
      <c r="N91" s="4" t="s">
        <v>6067</v>
      </c>
      <c r="P91" s="296" t="s">
        <v>324</v>
      </c>
      <c r="Q91" s="4" t="s">
        <v>6067</v>
      </c>
      <c r="R91" s="4" t="s">
        <v>6067</v>
      </c>
      <c r="S91" s="4" t="s">
        <v>6067</v>
      </c>
      <c r="T91" s="4" t="s">
        <v>6067</v>
      </c>
    </row>
    <row r="92" spans="1:20" x14ac:dyDescent="0.2">
      <c r="A92" s="296" t="s">
        <v>102</v>
      </c>
      <c r="B92" s="4">
        <v>95.218039031965816</v>
      </c>
      <c r="C92" s="4">
        <v>82.767192727731953</v>
      </c>
      <c r="D92" s="4">
        <v>-12.450846304233869</v>
      </c>
      <c r="E92" s="770" t="str">
        <f>IF(       0.006&lt;0.01,"***",IF(       0.006&lt;0.05,"**",IF(       0.006&lt;0.1,"*","NS")))</f>
        <v>***</v>
      </c>
      <c r="G92" s="296" t="s">
        <v>206</v>
      </c>
      <c r="H92" s="4">
        <v>95.218039031965816</v>
      </c>
      <c r="I92" s="4">
        <v>85.783261588504175</v>
      </c>
      <c r="J92" s="4">
        <v>-9.4347774434615914</v>
      </c>
      <c r="K92" s="771" t="str">
        <f>IF(       0.05&lt;0.01,"***",IF(       0.05&lt;0.05,"**",IF(       0.05&lt;0.1,"*","NS")))</f>
        <v>*</v>
      </c>
      <c r="L92" s="4">
        <v>76.554650481877985</v>
      </c>
      <c r="M92" s="4">
        <v>-18.663388550087866</v>
      </c>
      <c r="N92" s="772" t="str">
        <f>IF(       0&lt;0.01,"***",IF(       0&lt;0.05,"**",IF(       0&lt;0.1,"*","NS")))</f>
        <v>***</v>
      </c>
      <c r="P92" s="296" t="s">
        <v>325</v>
      </c>
      <c r="Q92" s="4">
        <v>92.490819529842113</v>
      </c>
      <c r="R92" s="4">
        <v>76.554650481877985</v>
      </c>
      <c r="S92" s="4">
        <v>-15.936169047964125</v>
      </c>
      <c r="T92" s="773" t="str">
        <f>IF(       0.001&lt;0.01,"***",IF(       0.001&lt;0.05,"**",IF(       0.001&lt;0.1,"*","NS")))</f>
        <v>***</v>
      </c>
    </row>
    <row r="93" spans="1:20" x14ac:dyDescent="0.2">
      <c r="A93" s="296" t="s">
        <v>103</v>
      </c>
      <c r="B93" s="4" t="s">
        <v>6067</v>
      </c>
      <c r="C93" s="4" t="s">
        <v>6067</v>
      </c>
      <c r="D93" s="4" t="s">
        <v>6067</v>
      </c>
      <c r="E93" s="4" t="s">
        <v>6067</v>
      </c>
      <c r="G93" s="296" t="s">
        <v>207</v>
      </c>
      <c r="H93" s="4" t="s">
        <v>6067</v>
      </c>
      <c r="I93" s="4" t="s">
        <v>6067</v>
      </c>
      <c r="J93" s="4" t="s">
        <v>6067</v>
      </c>
      <c r="K93" s="4" t="s">
        <v>6067</v>
      </c>
      <c r="L93" s="4" t="s">
        <v>6067</v>
      </c>
      <c r="M93" s="4" t="s">
        <v>6067</v>
      </c>
      <c r="N93" s="4" t="s">
        <v>6067</v>
      </c>
      <c r="P93" s="296" t="s">
        <v>326</v>
      </c>
      <c r="Q93" s="4" t="s">
        <v>6067</v>
      </c>
      <c r="R93" s="4" t="s">
        <v>6067</v>
      </c>
      <c r="S93" s="4" t="s">
        <v>6067</v>
      </c>
      <c r="T93" s="4" t="s">
        <v>6067</v>
      </c>
    </row>
    <row r="94" spans="1:20" x14ac:dyDescent="0.2">
      <c r="A94" s="296" t="s">
        <v>5835</v>
      </c>
      <c r="B94" s="4">
        <v>94.887447281480618</v>
      </c>
      <c r="C94" s="4">
        <v>84.785986834616907</v>
      </c>
      <c r="D94" s="4">
        <v>-10.101460446863285</v>
      </c>
      <c r="E94" s="774" t="str">
        <f>IF(       0&lt;0.01,"***",IF(       0&lt;0.05,"**",IF(       0&lt;0.1,"*","NS")))</f>
        <v>***</v>
      </c>
      <c r="G94" s="296" t="s">
        <v>5835</v>
      </c>
      <c r="H94" s="4">
        <v>94.887447281480618</v>
      </c>
      <c r="I94" s="4">
        <v>87.617106296422122</v>
      </c>
      <c r="J94" s="4">
        <v>-7.2703409850584704</v>
      </c>
      <c r="K94" s="775" t="str">
        <f>IF(       0&lt;0.01,"***",IF(       0&lt;0.05,"**",IF(       0&lt;0.1,"*","NS")))</f>
        <v>***</v>
      </c>
      <c r="L94" s="4">
        <v>75.263196203359669</v>
      </c>
      <c r="M94" s="4">
        <v>-19.624251078121102</v>
      </c>
      <c r="N94" s="776" t="str">
        <f>IF(       0&lt;0.01,"***",IF(       0&lt;0.05,"**",IF(       0&lt;0.1,"*","NS")))</f>
        <v>***</v>
      </c>
      <c r="P94" s="296" t="s">
        <v>5835</v>
      </c>
      <c r="Q94" s="4">
        <v>93.459271931055838</v>
      </c>
      <c r="R94" s="4">
        <v>75.263196203359669</v>
      </c>
      <c r="S94" s="4">
        <v>-18.196075727696201</v>
      </c>
      <c r="T94" s="777" t="str">
        <f>IF(       0&lt;0.01,"***",IF(       0&lt;0.05,"**",IF(       0&lt;0.1,"*","NS")))</f>
        <v>***</v>
      </c>
    </row>
    <row r="96" spans="1:20" x14ac:dyDescent="0.2">
      <c r="A96" s="296" t="s">
        <v>5723</v>
      </c>
      <c r="G96" s="296" t="s">
        <v>5724</v>
      </c>
      <c r="P96" s="296" t="s">
        <v>5725</v>
      </c>
    </row>
    <row r="97" spans="1:20" s="3" customFormat="1" x14ac:dyDescent="0.2">
      <c r="A97" s="5208" t="s">
        <v>3923</v>
      </c>
      <c r="B97" s="5209" t="s">
        <v>3924</v>
      </c>
      <c r="C97" s="5210" t="s">
        <v>3925</v>
      </c>
      <c r="D97" s="5211" t="s">
        <v>3926</v>
      </c>
      <c r="E97" s="5212" t="s">
        <v>3927</v>
      </c>
      <c r="G97" s="5213" t="s">
        <v>3963</v>
      </c>
      <c r="H97" s="5214" t="s">
        <v>3964</v>
      </c>
      <c r="I97" s="5215" t="s">
        <v>3965</v>
      </c>
      <c r="J97" s="5216" t="s">
        <v>3966</v>
      </c>
      <c r="K97" s="5217" t="s">
        <v>3967</v>
      </c>
      <c r="L97" s="5218" t="s">
        <v>4003</v>
      </c>
      <c r="M97" s="5219" t="s">
        <v>4004</v>
      </c>
      <c r="N97" s="5220" t="s">
        <v>4005</v>
      </c>
      <c r="P97" s="5221" t="s">
        <v>4009</v>
      </c>
      <c r="Q97" s="5222" t="s">
        <v>4010</v>
      </c>
      <c r="R97" s="5223" t="s">
        <v>4011</v>
      </c>
      <c r="S97" s="5224" t="s">
        <v>4012</v>
      </c>
      <c r="T97" s="5225" t="s">
        <v>4013</v>
      </c>
    </row>
    <row r="98" spans="1:20" x14ac:dyDescent="0.2">
      <c r="A98" s="296" t="s">
        <v>3928</v>
      </c>
      <c r="B98" s="4">
        <v>93.846694309181316</v>
      </c>
      <c r="C98" s="4">
        <v>90.430932255302224</v>
      </c>
      <c r="D98" s="4">
        <v>-3.4157620538791025</v>
      </c>
      <c r="E98" s="778" t="str">
        <f>IF(       0.014&lt;0.01,"***",IF(       0.014&lt;0.05,"**",IF(       0.014&lt;0.1,"*","NS")))</f>
        <v>**</v>
      </c>
      <c r="G98" s="296" t="s">
        <v>3968</v>
      </c>
      <c r="H98" s="4">
        <v>93.846694309181316</v>
      </c>
      <c r="I98" s="4">
        <v>91.101590155984312</v>
      </c>
      <c r="J98" s="4">
        <v>-2.7451041531970226</v>
      </c>
      <c r="K98" s="779" t="str">
        <f>IF(       0.056&lt;0.01,"***",IF(       0.056&lt;0.05,"**",IF(       0.056&lt;0.1,"*","NS")))</f>
        <v>*</v>
      </c>
      <c r="L98" s="4">
        <v>85.432534241920251</v>
      </c>
      <c r="M98" s="4">
        <v>-8.4141600672610206</v>
      </c>
      <c r="N98" s="780" t="str">
        <f>IF(       0&lt;0.01,"***",IF(       0&lt;0.05,"**",IF(       0&lt;0.1,"*","NS")))</f>
        <v>***</v>
      </c>
      <c r="P98" s="296" t="s">
        <v>4014</v>
      </c>
      <c r="Q98" s="4">
        <v>93.052262129065085</v>
      </c>
      <c r="R98" s="4">
        <v>85.432534241920251</v>
      </c>
      <c r="S98" s="4">
        <v>-7.6197278871448484</v>
      </c>
      <c r="T98" s="781" t="str">
        <f>IF(       0.066&lt;0.01,"***",IF(       0.066&lt;0.05,"**",IF(       0.066&lt;0.1,"*","NS")))</f>
        <v>*</v>
      </c>
    </row>
    <row r="99" spans="1:20" x14ac:dyDescent="0.2">
      <c r="A99" s="296" t="s">
        <v>3929</v>
      </c>
      <c r="B99" s="4">
        <v>95.08357692715613</v>
      </c>
      <c r="C99" s="4">
        <v>87.198517401828127</v>
      </c>
      <c r="D99" s="4">
        <v>-7.8850595253279785</v>
      </c>
      <c r="E99" s="782" t="str">
        <f>IF(       0&lt;0.01,"***",IF(       0&lt;0.05,"**",IF(       0&lt;0.1,"*","NS")))</f>
        <v>***</v>
      </c>
      <c r="G99" s="296" t="s">
        <v>3969</v>
      </c>
      <c r="H99" s="4">
        <v>95.08357692715613</v>
      </c>
      <c r="I99" s="4">
        <v>88.231794904744206</v>
      </c>
      <c r="J99" s="4">
        <v>-6.8517820224118129</v>
      </c>
      <c r="K99" s="783" t="str">
        <f>IF(       0&lt;0.01,"***",IF(       0&lt;0.05,"**",IF(       0&lt;0.1,"*","NS")))</f>
        <v>***</v>
      </c>
      <c r="L99" s="4">
        <v>82.267687450177206</v>
      </c>
      <c r="M99" s="4">
        <v>-12.815889476979148</v>
      </c>
      <c r="N99" s="784" t="str">
        <f>IF(       0.042&lt;0.01,"***",IF(       0.042&lt;0.05,"**",IF(       0.042&lt;0.1,"*","NS")))</f>
        <v>**</v>
      </c>
      <c r="P99" s="296" t="s">
        <v>4015</v>
      </c>
      <c r="Q99" s="4">
        <v>93.70374476758802</v>
      </c>
      <c r="R99" s="4">
        <v>82.267687450177206</v>
      </c>
      <c r="S99" s="4">
        <v>-11.436057317410699</v>
      </c>
      <c r="T99" s="785" t="str">
        <f>IF(       0.008&lt;0.01,"***",IF(       0.008&lt;0.05,"**",IF(       0.008&lt;0.1,"*","NS")))</f>
        <v>***</v>
      </c>
    </row>
    <row r="100" spans="1:20" x14ac:dyDescent="0.2">
      <c r="A100" s="296" t="s">
        <v>3930</v>
      </c>
      <c r="B100" s="4">
        <v>97.290926867257028</v>
      </c>
      <c r="C100" s="4">
        <v>93.987739708829821</v>
      </c>
      <c r="D100" s="4">
        <v>-3.3031871584271935</v>
      </c>
      <c r="E100" s="786" t="str">
        <f>IF(       0.02&lt;0.01,"***",IF(       0.02&lt;0.05,"**",IF(       0.02&lt;0.1,"*","NS")))</f>
        <v>**</v>
      </c>
      <c r="G100" s="296" t="s">
        <v>3970</v>
      </c>
      <c r="H100" s="4">
        <v>97.290926867257028</v>
      </c>
      <c r="I100" s="4">
        <v>97.280434240669436</v>
      </c>
      <c r="J100" s="4">
        <v>-1.0492626587593949E-2</v>
      </c>
      <c r="K100" s="787" t="str">
        <f>IF(       0.993&lt;0.01,"***",IF(       0.993&lt;0.05,"**",IF(       0.993&lt;0.1,"*","NS")))</f>
        <v>NS</v>
      </c>
      <c r="L100" s="4">
        <v>78.231877649640779</v>
      </c>
      <c r="M100" s="4">
        <v>-19.059049217616138</v>
      </c>
      <c r="N100" s="788" t="str">
        <f>IF(       0.003&lt;0.01,"***",IF(       0.003&lt;0.05,"**",IF(       0.003&lt;0.1,"*","NS")))</f>
        <v>***</v>
      </c>
      <c r="P100" s="296" t="s">
        <v>4016</v>
      </c>
      <c r="Q100" s="4">
        <v>97.289329446556195</v>
      </c>
      <c r="R100" s="4">
        <v>78.231877649640779</v>
      </c>
      <c r="S100" s="4">
        <v>-19.057451796914982</v>
      </c>
      <c r="T100" s="789" t="str">
        <f>IF(       0&lt;0.01,"***",IF(       0&lt;0.05,"**",IF(       0&lt;0.1,"*","NS")))</f>
        <v>***</v>
      </c>
    </row>
    <row r="101" spans="1:20" x14ac:dyDescent="0.2">
      <c r="A101" s="296" t="s">
        <v>3931</v>
      </c>
      <c r="B101" s="4">
        <v>95.313754112557618</v>
      </c>
      <c r="C101" s="4">
        <v>92.442078396887879</v>
      </c>
      <c r="D101" s="4">
        <v>-2.8716757156697579</v>
      </c>
      <c r="E101" s="790" t="str">
        <f>IF(       0.013&lt;0.01,"***",IF(       0.013&lt;0.05,"**",IF(       0.013&lt;0.1,"*","NS")))</f>
        <v>**</v>
      </c>
      <c r="G101" s="296" t="s">
        <v>3971</v>
      </c>
      <c r="H101" s="4">
        <v>95.313754112557618</v>
      </c>
      <c r="I101" s="4">
        <v>93.749298510615787</v>
      </c>
      <c r="J101" s="4">
        <v>-1.5644556019418381</v>
      </c>
      <c r="K101" s="791" t="str">
        <f>IF(       0.134&lt;0.01,"***",IF(       0.134&lt;0.05,"**",IF(       0.134&lt;0.1,"*","NS")))</f>
        <v>NS</v>
      </c>
      <c r="L101" s="4">
        <v>83.604683275616509</v>
      </c>
      <c r="M101" s="4">
        <v>-11.709070836941121</v>
      </c>
      <c r="N101" s="792" t="str">
        <f>IF(       0&lt;0.01,"***",IF(       0&lt;0.05,"**",IF(       0&lt;0.1,"*","NS")))</f>
        <v>***</v>
      </c>
      <c r="P101" s="296" t="s">
        <v>4017</v>
      </c>
      <c r="Q101" s="4">
        <v>94.969123128493322</v>
      </c>
      <c r="R101" s="4">
        <v>83.604683275616509</v>
      </c>
      <c r="S101" s="4">
        <v>-11.36443985287678</v>
      </c>
      <c r="T101" s="793" t="str">
        <f>IF(       0.006&lt;0.01,"***",IF(       0.006&lt;0.05,"**",IF(       0.006&lt;0.1,"*","NS")))</f>
        <v>***</v>
      </c>
    </row>
    <row r="102" spans="1:20" x14ac:dyDescent="0.2">
      <c r="A102" s="296" t="s">
        <v>3932</v>
      </c>
      <c r="B102" s="4" t="s">
        <v>6067</v>
      </c>
      <c r="C102" s="4" t="s">
        <v>6067</v>
      </c>
      <c r="D102" s="4" t="s">
        <v>6067</v>
      </c>
      <c r="E102" s="4" t="s">
        <v>6067</v>
      </c>
      <c r="G102" s="296" t="s">
        <v>3972</v>
      </c>
      <c r="H102" s="4" t="s">
        <v>6067</v>
      </c>
      <c r="I102" s="4" t="s">
        <v>6067</v>
      </c>
      <c r="J102" s="4" t="s">
        <v>6067</v>
      </c>
      <c r="K102" s="4" t="s">
        <v>6067</v>
      </c>
      <c r="L102" s="4" t="s">
        <v>6067</v>
      </c>
      <c r="M102" s="4" t="s">
        <v>6067</v>
      </c>
      <c r="N102" s="4" t="s">
        <v>6067</v>
      </c>
      <c r="P102" s="296" t="s">
        <v>4018</v>
      </c>
      <c r="Q102" s="4" t="s">
        <v>6067</v>
      </c>
      <c r="R102" s="4" t="s">
        <v>6067</v>
      </c>
      <c r="S102" s="4" t="s">
        <v>6067</v>
      </c>
      <c r="T102" s="4" t="s">
        <v>6067</v>
      </c>
    </row>
    <row r="103" spans="1:20" x14ac:dyDescent="0.2">
      <c r="A103" s="296" t="s">
        <v>3933</v>
      </c>
      <c r="B103" s="4">
        <v>93.031873276989046</v>
      </c>
      <c r="C103" s="4">
        <v>89.185949277282617</v>
      </c>
      <c r="D103" s="4">
        <v>-3.8459239997062875</v>
      </c>
      <c r="E103" s="794" t="str">
        <f>IF(       0.063&lt;0.01,"***",IF(       0.063&lt;0.05,"**",IF(       0.063&lt;0.1,"*","NS")))</f>
        <v>*</v>
      </c>
      <c r="G103" s="296" t="s">
        <v>3973</v>
      </c>
      <c r="H103" s="4">
        <v>93.031873276989046</v>
      </c>
      <c r="I103" s="4">
        <v>90.178336754382528</v>
      </c>
      <c r="J103" s="4">
        <v>-2.8535365226065195</v>
      </c>
      <c r="K103" s="795" t="str">
        <f>IF(       0.193&lt;0.01,"***",IF(       0.193&lt;0.05,"**",IF(       0.193&lt;0.1,"*","NS")))</f>
        <v>NS</v>
      </c>
      <c r="L103" s="4">
        <v>84.218063381481116</v>
      </c>
      <c r="M103" s="4">
        <v>-8.8138098955079016</v>
      </c>
      <c r="N103" s="796" t="str">
        <f>IF(       0.003&lt;0.01,"***",IF(       0.003&lt;0.05,"**",IF(       0.003&lt;0.1,"*","NS")))</f>
        <v>***</v>
      </c>
      <c r="P103" s="296" t="s">
        <v>4019</v>
      </c>
      <c r="Q103" s="4">
        <v>92.452610182896535</v>
      </c>
      <c r="R103" s="4">
        <v>84.218063381481116</v>
      </c>
      <c r="S103" s="4">
        <v>-8.2345468014154495</v>
      </c>
      <c r="T103" s="797" t="str">
        <f>IF(       0.072&lt;0.01,"***",IF(       0.072&lt;0.05,"**",IF(       0.072&lt;0.1,"*","NS")))</f>
        <v>*</v>
      </c>
    </row>
    <row r="104" spans="1:20" x14ac:dyDescent="0.2">
      <c r="A104" s="296" t="s">
        <v>3934</v>
      </c>
      <c r="B104" s="4">
        <v>96.653677921083485</v>
      </c>
      <c r="C104" s="4">
        <v>96.415709856475601</v>
      </c>
      <c r="D104" s="4">
        <v>-0.23796806460789988</v>
      </c>
      <c r="E104" s="798" t="str">
        <f>IF(       0.809&lt;0.01,"***",IF(       0.809&lt;0.05,"**",IF(       0.809&lt;0.1,"*","NS")))</f>
        <v>NS</v>
      </c>
      <c r="G104" s="296" t="s">
        <v>3974</v>
      </c>
      <c r="H104" s="4">
        <v>96.653677921083485</v>
      </c>
      <c r="I104" s="4">
        <v>96.288380330667351</v>
      </c>
      <c r="J104" s="4">
        <v>-0.36529759041613485</v>
      </c>
      <c r="K104" s="799" t="str">
        <f>IF(       0.757&lt;0.01,"***",IF(       0.757&lt;0.05,"**",IF(       0.757&lt;0.1,"*","NS")))</f>
        <v>NS</v>
      </c>
      <c r="L104" s="4">
        <v>96.930036604607551</v>
      </c>
      <c r="M104" s="4">
        <v>0.27635868352405318</v>
      </c>
      <c r="N104" s="800" t="str">
        <f>IF(       0.057&lt;0.01,"***",IF(       0.057&lt;0.05,"**",IF(       0.057&lt;0.1,"*","NS")))</f>
        <v>*</v>
      </c>
      <c r="P104" s="296" t="s">
        <v>4020</v>
      </c>
      <c r="Q104" s="4">
        <v>96.615611869008433</v>
      </c>
      <c r="R104" s="4">
        <v>96.930036604607551</v>
      </c>
      <c r="S104" s="4">
        <v>0.3144247355990985</v>
      </c>
      <c r="T104" s="801" t="str">
        <f>IF(       0.862&lt;0.01,"***",IF(       0.862&lt;0.05,"**",IF(       0.862&lt;0.1,"*","NS")))</f>
        <v>NS</v>
      </c>
    </row>
    <row r="105" spans="1:20" x14ac:dyDescent="0.2">
      <c r="A105" s="296" t="s">
        <v>3935</v>
      </c>
      <c r="B105" s="4" t="s">
        <v>6067</v>
      </c>
      <c r="C105" s="4" t="s">
        <v>6067</v>
      </c>
      <c r="D105" s="4" t="s">
        <v>6067</v>
      </c>
      <c r="E105" s="4" t="s">
        <v>6067</v>
      </c>
      <c r="G105" s="296" t="s">
        <v>3975</v>
      </c>
      <c r="H105" s="4" t="s">
        <v>6067</v>
      </c>
      <c r="I105" s="4" t="s">
        <v>6067</v>
      </c>
      <c r="J105" s="4" t="s">
        <v>6067</v>
      </c>
      <c r="K105" s="4" t="s">
        <v>6067</v>
      </c>
      <c r="L105" s="4" t="s">
        <v>6067</v>
      </c>
      <c r="M105" s="4" t="s">
        <v>6067</v>
      </c>
      <c r="N105" s="4" t="s">
        <v>6067</v>
      </c>
      <c r="P105" s="296" t="s">
        <v>4021</v>
      </c>
      <c r="Q105" s="4" t="s">
        <v>6067</v>
      </c>
      <c r="R105" s="4" t="s">
        <v>6067</v>
      </c>
      <c r="S105" s="4" t="s">
        <v>6067</v>
      </c>
      <c r="T105" s="4" t="s">
        <v>6067</v>
      </c>
    </row>
    <row r="106" spans="1:20" x14ac:dyDescent="0.2">
      <c r="A106" s="296" t="s">
        <v>3936</v>
      </c>
      <c r="B106" s="4">
        <v>94.305038802262914</v>
      </c>
      <c r="C106" s="4">
        <v>87.482956432994001</v>
      </c>
      <c r="D106" s="4">
        <v>-6.8220823692690233</v>
      </c>
      <c r="E106" s="802" t="str">
        <f>IF(       0&lt;0.01,"***",IF(       0&lt;0.05,"**",IF(       0&lt;0.1,"*","NS")))</f>
        <v>***</v>
      </c>
      <c r="G106" s="296" t="s">
        <v>3976</v>
      </c>
      <c r="H106" s="4">
        <v>94.305038802262914</v>
      </c>
      <c r="I106" s="4">
        <v>88.433716204201502</v>
      </c>
      <c r="J106" s="4">
        <v>-5.8713225980614014</v>
      </c>
      <c r="K106" s="803" t="str">
        <f>IF(       0.003&lt;0.01,"***",IF(       0.003&lt;0.05,"**",IF(       0.003&lt;0.1,"*","NS")))</f>
        <v>***</v>
      </c>
      <c r="L106" s="4">
        <v>84.969127389685724</v>
      </c>
      <c r="M106" s="4">
        <v>-9.3359114125770706</v>
      </c>
      <c r="N106" s="804" t="str">
        <f>IF(       0.608&lt;0.01,"***",IF(       0.608&lt;0.05,"**",IF(       0.608&lt;0.1,"*","NS")))</f>
        <v>NS</v>
      </c>
      <c r="P106" s="296" t="s">
        <v>4022</v>
      </c>
      <c r="Q106" s="4">
        <v>92.887689864912048</v>
      </c>
      <c r="R106" s="4">
        <v>84.969127389685724</v>
      </c>
      <c r="S106" s="4">
        <v>-7.9185624752263184</v>
      </c>
      <c r="T106" s="805" t="str">
        <f>IF(       0.007&lt;0.01,"***",IF(       0.007&lt;0.05,"**",IF(       0.007&lt;0.1,"*","NS")))</f>
        <v>***</v>
      </c>
    </row>
    <row r="107" spans="1:20" x14ac:dyDescent="0.2">
      <c r="A107" s="296" t="s">
        <v>3937</v>
      </c>
      <c r="B107" s="4">
        <v>95.352415157646774</v>
      </c>
      <c r="C107" s="4">
        <v>90.182878386467848</v>
      </c>
      <c r="D107" s="4">
        <v>-5.1695367711789766</v>
      </c>
      <c r="E107" s="806" t="str">
        <f>IF(       0.001&lt;0.01,"***",IF(       0.001&lt;0.05,"**",IF(       0.001&lt;0.1,"*","NS")))</f>
        <v>***</v>
      </c>
      <c r="G107" s="296" t="s">
        <v>3977</v>
      </c>
      <c r="H107" s="4">
        <v>95.352415157646774</v>
      </c>
      <c r="I107" s="4">
        <v>91.721500737280067</v>
      </c>
      <c r="J107" s="4">
        <v>-3.6309144203667061</v>
      </c>
      <c r="K107" s="807" t="str">
        <f>IF(       0.013&lt;0.01,"***",IF(       0.013&lt;0.05,"**",IF(       0.013&lt;0.1,"*","NS")))</f>
        <v>**</v>
      </c>
      <c r="L107" s="4">
        <v>81.153815273520024</v>
      </c>
      <c r="M107" s="4">
        <v>-14.198599884126988</v>
      </c>
      <c r="N107" s="808" t="str">
        <f>IF(       0.002&lt;0.01,"***",IF(       0.002&lt;0.05,"**",IF(       0.002&lt;0.1,"*","NS")))</f>
        <v>***</v>
      </c>
      <c r="P107" s="296" t="s">
        <v>4023</v>
      </c>
      <c r="Q107" s="4">
        <v>94.190735969820693</v>
      </c>
      <c r="R107" s="4">
        <v>81.153815273520024</v>
      </c>
      <c r="S107" s="4">
        <v>-13.036920696300522</v>
      </c>
      <c r="T107" s="809" t="str">
        <f>IF(       0.004&lt;0.01,"***",IF(       0.004&lt;0.05,"**",IF(       0.004&lt;0.1,"*","NS")))</f>
        <v>***</v>
      </c>
    </row>
    <row r="108" spans="1:20" x14ac:dyDescent="0.2">
      <c r="A108" s="296" t="s">
        <v>3938</v>
      </c>
      <c r="B108" s="4">
        <v>94.120790341688533</v>
      </c>
      <c r="C108" s="4">
        <v>89.738846648427426</v>
      </c>
      <c r="D108" s="4">
        <v>-4.3819436932610651</v>
      </c>
      <c r="E108" s="810" t="str">
        <f>IF(       0.006&lt;0.01,"***",IF(       0.006&lt;0.05,"**",IF(       0.006&lt;0.1,"*","NS")))</f>
        <v>***</v>
      </c>
      <c r="G108" s="296" t="s">
        <v>3978</v>
      </c>
      <c r="H108" s="4">
        <v>94.120790341688533</v>
      </c>
      <c r="I108" s="4">
        <v>90.117463881740562</v>
      </c>
      <c r="J108" s="4">
        <v>-4.0033264599480018</v>
      </c>
      <c r="K108" s="811" t="str">
        <f>IF(       0.009&lt;0.01,"***",IF(       0.009&lt;0.05,"**",IF(       0.009&lt;0.1,"*","NS")))</f>
        <v>***</v>
      </c>
      <c r="L108" s="4">
        <v>88.211758555573624</v>
      </c>
      <c r="M108" s="4">
        <v>-5.9090317861148476</v>
      </c>
      <c r="N108" s="812" t="str">
        <f>IF(       0.002&lt;0.01,"***",IF(       0.002&lt;0.05,"**",IF(       0.002&lt;0.1,"*","NS")))</f>
        <v>***</v>
      </c>
      <c r="P108" s="296" t="s">
        <v>4024</v>
      </c>
      <c r="Q108" s="4">
        <v>93.505935135004492</v>
      </c>
      <c r="R108" s="4">
        <v>88.211758555573624</v>
      </c>
      <c r="S108" s="4">
        <v>-5.2941765794307729</v>
      </c>
      <c r="T108" s="813" t="str">
        <f>IF(       0.099&lt;0.01,"***",IF(       0.099&lt;0.05,"**",IF(       0.099&lt;0.1,"*","NS")))</f>
        <v>*</v>
      </c>
    </row>
    <row r="109" spans="1:20" x14ac:dyDescent="0.2">
      <c r="A109" s="296" t="s">
        <v>3939</v>
      </c>
      <c r="B109" s="4">
        <v>96.462843910646882</v>
      </c>
      <c r="C109" s="4">
        <v>89.741128878380522</v>
      </c>
      <c r="D109" s="4">
        <v>-6.7217150322663803</v>
      </c>
      <c r="E109" s="814" t="str">
        <f>IF(       0&lt;0.01,"***",IF(       0&lt;0.05,"**",IF(       0&lt;0.1,"*","NS")))</f>
        <v>***</v>
      </c>
      <c r="G109" s="296" t="s">
        <v>3979</v>
      </c>
      <c r="H109" s="4">
        <v>96.462843910646882</v>
      </c>
      <c r="I109" s="4">
        <v>90.441300452952461</v>
      </c>
      <c r="J109" s="4">
        <v>-6.0215434576944205</v>
      </c>
      <c r="K109" s="815" t="str">
        <f>IF(       0.001&lt;0.01,"***",IF(       0.001&lt;0.05,"**",IF(       0.001&lt;0.1,"*","NS")))</f>
        <v>***</v>
      </c>
      <c r="L109" s="4">
        <v>85.985569045724674</v>
      </c>
      <c r="M109" s="4">
        <v>-10.47727486492256</v>
      </c>
      <c r="N109" s="816" t="str">
        <f>IF(       0.073&lt;0.01,"***",IF(       0.073&lt;0.05,"**",IF(       0.073&lt;0.1,"*","NS")))</f>
        <v>*</v>
      </c>
      <c r="P109" s="296" t="s">
        <v>4025</v>
      </c>
      <c r="Q109" s="4">
        <v>95.567065180450683</v>
      </c>
      <c r="R109" s="4">
        <v>85.985569045724674</v>
      </c>
      <c r="S109" s="4">
        <v>-9.5814961347262724</v>
      </c>
      <c r="T109" s="817" t="str">
        <f>IF(       0.022&lt;0.01,"***",IF(       0.022&lt;0.05,"**",IF(       0.022&lt;0.1,"*","NS")))</f>
        <v>**</v>
      </c>
    </row>
    <row r="110" spans="1:20" x14ac:dyDescent="0.2">
      <c r="A110" s="296" t="s">
        <v>3940</v>
      </c>
      <c r="B110" s="4">
        <v>96.406017802224667</v>
      </c>
      <c r="C110" s="4">
        <v>91.15047865032561</v>
      </c>
      <c r="D110" s="4">
        <v>-5.2555391518989891</v>
      </c>
      <c r="E110" s="818" t="str">
        <f>IF(       0.002&lt;0.01,"***",IF(       0.002&lt;0.05,"**",IF(       0.002&lt;0.1,"*","NS")))</f>
        <v>***</v>
      </c>
      <c r="G110" s="296" t="s">
        <v>3980</v>
      </c>
      <c r="H110" s="4">
        <v>96.406017802224667</v>
      </c>
      <c r="I110" s="4">
        <v>92.913033951684667</v>
      </c>
      <c r="J110" s="4">
        <v>-3.4929838505400013</v>
      </c>
      <c r="K110" s="819" t="str">
        <f>IF(       0.018&lt;0.01,"***",IF(       0.018&lt;0.05,"**",IF(       0.018&lt;0.1,"*","NS")))</f>
        <v>**</v>
      </c>
      <c r="L110" s="4">
        <v>84.237454731917566</v>
      </c>
      <c r="M110" s="4">
        <v>-12.168563070307176</v>
      </c>
      <c r="N110" s="820" t="str">
        <f>IF(       0.011&lt;0.01,"***",IF(       0.011&lt;0.05,"**",IF(       0.011&lt;0.1,"*","NS")))</f>
        <v>**</v>
      </c>
      <c r="P110" s="296" t="s">
        <v>4026</v>
      </c>
      <c r="Q110" s="4">
        <v>95.926304644826743</v>
      </c>
      <c r="R110" s="4">
        <v>84.237454731917566</v>
      </c>
      <c r="S110" s="4">
        <v>-11.688849912909154</v>
      </c>
      <c r="T110" s="821" t="str">
        <f>IF(       0.006&lt;0.01,"***",IF(       0.006&lt;0.05,"**",IF(       0.006&lt;0.1,"*","NS")))</f>
        <v>***</v>
      </c>
    </row>
    <row r="111" spans="1:20" x14ac:dyDescent="0.2">
      <c r="A111" s="296" t="s">
        <v>3941</v>
      </c>
      <c r="B111" s="4">
        <v>92.308128918404705</v>
      </c>
      <c r="C111" s="4">
        <v>88.777932245943703</v>
      </c>
      <c r="D111" s="4">
        <v>-3.530196672461043</v>
      </c>
      <c r="E111" s="822" t="str">
        <f>IF(       0.006&lt;0.01,"***",IF(       0.006&lt;0.05,"**",IF(       0.006&lt;0.1,"*","NS")))</f>
        <v>***</v>
      </c>
      <c r="G111" s="296" t="s">
        <v>3981</v>
      </c>
      <c r="H111" s="4">
        <v>92.308128918404705</v>
      </c>
      <c r="I111" s="4">
        <v>89.746075222132959</v>
      </c>
      <c r="J111" s="4">
        <v>-2.5620536962717582</v>
      </c>
      <c r="K111" s="823" t="str">
        <f>IF(       0.079&lt;0.01,"***",IF(       0.079&lt;0.05,"**",IF(       0.079&lt;0.1,"*","NS")))</f>
        <v>*</v>
      </c>
      <c r="L111" s="4">
        <v>85.039731602487166</v>
      </c>
      <c r="M111" s="4">
        <v>-7.2683973159174728</v>
      </c>
      <c r="N111" s="824" t="str">
        <f>IF(       0.005&lt;0.01,"***",IF(       0.005&lt;0.05,"**",IF(       0.005&lt;0.1,"*","NS")))</f>
        <v>***</v>
      </c>
      <c r="P111" s="296" t="s">
        <v>4027</v>
      </c>
      <c r="Q111" s="4">
        <v>91.632395275029822</v>
      </c>
      <c r="R111" s="4">
        <v>85.039731602487166</v>
      </c>
      <c r="S111" s="4">
        <v>-6.5926636725425984</v>
      </c>
      <c r="T111" s="825" t="str">
        <f>IF(       0.004&lt;0.01,"***",IF(       0.004&lt;0.05,"**",IF(       0.004&lt;0.1,"*","NS")))</f>
        <v>***</v>
      </c>
    </row>
    <row r="112" spans="1:20" x14ac:dyDescent="0.2">
      <c r="A112" s="296" t="s">
        <v>3942</v>
      </c>
      <c r="B112" s="4">
        <v>93.543270524699309</v>
      </c>
      <c r="C112" s="4">
        <v>87.465047318909669</v>
      </c>
      <c r="D112" s="4">
        <v>-6.0782232057895964</v>
      </c>
      <c r="E112" s="826" t="str">
        <f>IF(       0.002&lt;0.01,"***",IF(       0.002&lt;0.05,"**",IF(       0.002&lt;0.1,"*","NS")))</f>
        <v>***</v>
      </c>
      <c r="G112" s="296" t="s">
        <v>3982</v>
      </c>
      <c r="H112" s="4">
        <v>93.543270524699309</v>
      </c>
      <c r="I112" s="4">
        <v>88.006919503334586</v>
      </c>
      <c r="J112" s="4">
        <v>-5.5363510213647391</v>
      </c>
      <c r="K112" s="827" t="str">
        <f>IF(       0.009&lt;0.01,"***",IF(       0.009&lt;0.05,"**",IF(       0.009&lt;0.1,"*","NS")))</f>
        <v>***</v>
      </c>
      <c r="L112" s="4">
        <v>84.269264653780141</v>
      </c>
      <c r="M112" s="4">
        <v>-9.2740058709191473</v>
      </c>
      <c r="N112" s="828" t="str">
        <f>IF(       0.001&lt;0.01,"***",IF(       0.001&lt;0.05,"**",IF(       0.001&lt;0.1,"*","NS")))</f>
        <v>***</v>
      </c>
      <c r="P112" s="296" t="s">
        <v>4028</v>
      </c>
      <c r="Q112" s="4">
        <v>92.515117370833465</v>
      </c>
      <c r="R112" s="4">
        <v>84.269264653780141</v>
      </c>
      <c r="S112" s="4">
        <v>-8.2458527170535287</v>
      </c>
      <c r="T112" s="829" t="str">
        <f>IF(       0.121&lt;0.01,"***",IF(       0.121&lt;0.05,"**",IF(       0.121&lt;0.1,"*","NS")))</f>
        <v>NS</v>
      </c>
    </row>
    <row r="113" spans="1:20" x14ac:dyDescent="0.2">
      <c r="A113" s="296" t="s">
        <v>5835</v>
      </c>
      <c r="B113" s="4">
        <v>93.406160266957883</v>
      </c>
      <c r="C113" s="4">
        <v>89.136426678742765</v>
      </c>
      <c r="D113" s="4">
        <v>-4.2697335882150655</v>
      </c>
      <c r="E113" s="830" t="str">
        <f>IF(       0&lt;0.01,"***",IF(       0&lt;0.05,"**",IF(       0&lt;0.1,"*","NS")))</f>
        <v>***</v>
      </c>
      <c r="G113" s="296" t="s">
        <v>5835</v>
      </c>
      <c r="H113" s="4">
        <v>93.406160266957883</v>
      </c>
      <c r="I113" s="4">
        <v>90.217012725633765</v>
      </c>
      <c r="J113" s="4">
        <v>-3.1891475413240484</v>
      </c>
      <c r="K113" s="831" t="str">
        <f>IF(       0&lt;0.01,"***",IF(       0&lt;0.05,"**",IF(       0&lt;0.1,"*","NS")))</f>
        <v>***</v>
      </c>
      <c r="L113" s="4">
        <v>83.840393679693335</v>
      </c>
      <c r="M113" s="4">
        <v>-9.5657665872642621</v>
      </c>
      <c r="N113" s="832" t="str">
        <f>IF(       0&lt;0.01,"***",IF(       0&lt;0.05,"**",IF(       0&lt;0.1,"*","NS")))</f>
        <v>***</v>
      </c>
      <c r="P113" s="296" t="s">
        <v>5835</v>
      </c>
      <c r="Q113" s="4">
        <v>92.795789440368225</v>
      </c>
      <c r="R113" s="4">
        <v>83.840393679693335</v>
      </c>
      <c r="S113" s="4">
        <v>-8.9553957606754189</v>
      </c>
      <c r="T113" s="833" t="str">
        <f>IF(       0&lt;0.01,"***",IF(       0&lt;0.05,"**",IF(       0&lt;0.1,"*","NS")))</f>
        <v>***</v>
      </c>
    </row>
    <row r="115" spans="1:20" x14ac:dyDescent="0.2">
      <c r="A115" s="296" t="s">
        <v>5762</v>
      </c>
      <c r="G115" s="296" t="s">
        <v>5763</v>
      </c>
      <c r="P115" s="296" t="s">
        <v>5764</v>
      </c>
    </row>
    <row r="116" spans="1:20" s="3" customFormat="1" x14ac:dyDescent="0.2">
      <c r="A116" s="5226" t="s">
        <v>3943</v>
      </c>
      <c r="B116" s="5227" t="s">
        <v>3944</v>
      </c>
      <c r="C116" s="5228" t="s">
        <v>3945</v>
      </c>
      <c r="D116" s="5229" t="s">
        <v>3946</v>
      </c>
      <c r="E116" s="5230" t="s">
        <v>3947</v>
      </c>
      <c r="G116" s="5231" t="s">
        <v>3983</v>
      </c>
      <c r="H116" s="5232" t="s">
        <v>3984</v>
      </c>
      <c r="I116" s="5233" t="s">
        <v>3985</v>
      </c>
      <c r="J116" s="5234" t="s">
        <v>3986</v>
      </c>
      <c r="K116" s="5235" t="s">
        <v>3987</v>
      </c>
      <c r="L116" s="5236" t="s">
        <v>4006</v>
      </c>
      <c r="M116" s="5237" t="s">
        <v>4007</v>
      </c>
      <c r="N116" s="5238" t="s">
        <v>4008</v>
      </c>
      <c r="P116" s="5239" t="s">
        <v>4029</v>
      </c>
      <c r="Q116" s="5240" t="s">
        <v>4030</v>
      </c>
      <c r="R116" s="5241" t="s">
        <v>4031</v>
      </c>
      <c r="S116" s="5242" t="s">
        <v>4032</v>
      </c>
      <c r="T116" s="5243" t="s">
        <v>4033</v>
      </c>
    </row>
    <row r="117" spans="1:20" x14ac:dyDescent="0.2">
      <c r="A117" s="296" t="s">
        <v>3948</v>
      </c>
      <c r="B117" s="4">
        <v>74.605478712607393</v>
      </c>
      <c r="C117" s="4">
        <v>63.045006190478887</v>
      </c>
      <c r="D117" s="4">
        <v>-11.560472522128473</v>
      </c>
      <c r="E117" s="834" t="str">
        <f>IF(       0.01&lt;0.01,"***",IF(       0.01&lt;0.05,"**",IF(       0.01&lt;0.1,"*","NS")))</f>
        <v>**</v>
      </c>
      <c r="G117" s="296" t="s">
        <v>3988</v>
      </c>
      <c r="H117" s="4">
        <v>74.605478712607393</v>
      </c>
      <c r="I117" s="4">
        <v>68.507977308486247</v>
      </c>
      <c r="J117" s="4">
        <v>-6.097501404121167</v>
      </c>
      <c r="K117" s="835" t="str">
        <f>IF(       0.202&lt;0.01,"***",IF(       0.202&lt;0.05,"**",IF(       0.202&lt;0.1,"*","NS")))</f>
        <v>NS</v>
      </c>
      <c r="L117" s="4">
        <v>51.8949913062091</v>
      </c>
      <c r="M117" s="4">
        <v>-22.710487406398279</v>
      </c>
      <c r="N117" s="836" t="str">
        <f>IF(       0&lt;0.01,"***",IF(       0&lt;0.05,"**",IF(       0&lt;0.1,"*","NS")))</f>
        <v>***</v>
      </c>
      <c r="P117" s="296" t="s">
        <v>4034</v>
      </c>
      <c r="Q117" s="4">
        <v>70.610732154775391</v>
      </c>
      <c r="R117" s="4">
        <v>51.8949913062091</v>
      </c>
      <c r="S117" s="4">
        <v>-18.715740848566316</v>
      </c>
      <c r="T117" s="837" t="str">
        <f>IF(       0&lt;0.01,"***",IF(       0&lt;0.05,"**",IF(       0&lt;0.1,"*","NS")))</f>
        <v>***</v>
      </c>
    </row>
    <row r="118" spans="1:20" x14ac:dyDescent="0.2">
      <c r="A118" s="296" t="s">
        <v>3949</v>
      </c>
      <c r="B118" s="4">
        <v>75.367409117135509</v>
      </c>
      <c r="C118" s="4">
        <v>57.685706056918889</v>
      </c>
      <c r="D118" s="4">
        <v>-17.681703060216609</v>
      </c>
      <c r="E118" s="838" t="str">
        <f>IF(       0&lt;0.01,"***",IF(       0&lt;0.05,"**",IF(       0&lt;0.1,"*","NS")))</f>
        <v>***</v>
      </c>
      <c r="G118" s="296" t="s">
        <v>3989</v>
      </c>
      <c r="H118" s="4">
        <v>75.367409117135509</v>
      </c>
      <c r="I118" s="4">
        <v>61.740188682664318</v>
      </c>
      <c r="J118" s="4">
        <v>-13.627220434471141</v>
      </c>
      <c r="K118" s="839" t="str">
        <f>IF(       0&lt;0.01,"***",IF(       0&lt;0.05,"**",IF(       0&lt;0.1,"*","NS")))</f>
        <v>***</v>
      </c>
      <c r="L118" s="4">
        <v>50.80994260497468</v>
      </c>
      <c r="M118" s="4">
        <v>-24.55746651216085</v>
      </c>
      <c r="N118" s="840" t="str">
        <f>IF(       0&lt;0.01,"***",IF(       0&lt;0.05,"**",IF(       0&lt;0.1,"*","NS")))</f>
        <v>***</v>
      </c>
      <c r="P118" s="296" t="s">
        <v>4035</v>
      </c>
      <c r="Q118" s="4">
        <v>67.183369217520422</v>
      </c>
      <c r="R118" s="4">
        <v>50.80994260497468</v>
      </c>
      <c r="S118" s="4">
        <v>-16.373426612545757</v>
      </c>
      <c r="T118" s="841" t="str">
        <f>IF(       0&lt;0.01,"***",IF(       0&lt;0.05,"**",IF(       0&lt;0.1,"*","NS")))</f>
        <v>***</v>
      </c>
    </row>
    <row r="119" spans="1:20" x14ac:dyDescent="0.2">
      <c r="A119" s="296" t="s">
        <v>3950</v>
      </c>
      <c r="B119" s="4">
        <v>80.243263507830065</v>
      </c>
      <c r="C119" s="4">
        <v>67.874424449764192</v>
      </c>
      <c r="D119" s="4">
        <v>-12.368839058065896</v>
      </c>
      <c r="E119" s="842" t="str">
        <f>IF(       0.002&lt;0.01,"***",IF(       0.002&lt;0.05,"**",IF(       0.002&lt;0.1,"*","NS")))</f>
        <v>***</v>
      </c>
      <c r="G119" s="296" t="s">
        <v>3990</v>
      </c>
      <c r="H119" s="4">
        <v>80.243263507830065</v>
      </c>
      <c r="I119" s="4">
        <v>72.485804518650156</v>
      </c>
      <c r="J119" s="4">
        <v>-7.757458989179943</v>
      </c>
      <c r="K119" s="843" t="str">
        <f>IF(       0.039&lt;0.01,"***",IF(       0.039&lt;0.05,"**",IF(       0.039&lt;0.1,"*","NS")))</f>
        <v>**</v>
      </c>
      <c r="L119" s="4">
        <v>57.48027732566554</v>
      </c>
      <c r="M119" s="4">
        <v>-22.762986182164472</v>
      </c>
      <c r="N119" s="844" t="str">
        <f>IF(       0&lt;0.01,"***",IF(       0&lt;0.05,"**",IF(       0&lt;0.1,"*","NS")))</f>
        <v>***</v>
      </c>
      <c r="P119" s="296" t="s">
        <v>4036</v>
      </c>
      <c r="Q119" s="4">
        <v>76.529738684278371</v>
      </c>
      <c r="R119" s="4">
        <v>57.48027732566554</v>
      </c>
      <c r="S119" s="4">
        <v>-19.049461358612891</v>
      </c>
      <c r="T119" s="845" t="str">
        <f>IF(       0&lt;0.01,"***",IF(       0&lt;0.05,"**",IF(       0&lt;0.1,"*","NS")))</f>
        <v>***</v>
      </c>
    </row>
    <row r="120" spans="1:20" x14ac:dyDescent="0.2">
      <c r="A120" s="296" t="s">
        <v>3951</v>
      </c>
      <c r="B120" s="4">
        <v>71.668875874087789</v>
      </c>
      <c r="C120" s="4">
        <v>62.47795716348503</v>
      </c>
      <c r="D120" s="4">
        <v>-9.1909187106027694</v>
      </c>
      <c r="E120" s="846" t="str">
        <f>IF(       0.01&lt;0.01,"***",IF(       0.01&lt;0.05,"**",IF(       0.01&lt;0.1,"*","NS")))</f>
        <v>**</v>
      </c>
      <c r="G120" s="296" t="s">
        <v>3991</v>
      </c>
      <c r="H120" s="4">
        <v>71.668875874087789</v>
      </c>
      <c r="I120" s="4">
        <v>66.04591832137433</v>
      </c>
      <c r="J120" s="4">
        <v>-5.6229575527134479</v>
      </c>
      <c r="K120" s="847" t="str">
        <f>IF(       0.135&lt;0.01,"***",IF(       0.135&lt;0.05,"**",IF(       0.135&lt;0.1,"*","NS")))</f>
        <v>NS</v>
      </c>
      <c r="L120" s="4">
        <v>54.167734790032974</v>
      </c>
      <c r="M120" s="4">
        <v>-17.501141084054765</v>
      </c>
      <c r="N120" s="848" t="str">
        <f>IF(       0&lt;0.01,"***",IF(       0&lt;0.05,"**",IF(       0&lt;0.1,"*","NS")))</f>
        <v>***</v>
      </c>
      <c r="P120" s="296" t="s">
        <v>4037</v>
      </c>
      <c r="Q120" s="4">
        <v>68.576383678425515</v>
      </c>
      <c r="R120" s="4">
        <v>54.167734790032974</v>
      </c>
      <c r="S120" s="4">
        <v>-14.408648888392477</v>
      </c>
      <c r="T120" s="849" t="str">
        <f>IF(       0&lt;0.01,"***",IF(       0&lt;0.05,"**",IF(       0&lt;0.1,"*","NS")))</f>
        <v>***</v>
      </c>
    </row>
    <row r="121" spans="1:20" x14ac:dyDescent="0.2">
      <c r="A121" s="296" t="s">
        <v>3952</v>
      </c>
      <c r="B121" s="4">
        <v>71.427723783596434</v>
      </c>
      <c r="C121" s="4">
        <v>69.421685663409889</v>
      </c>
      <c r="D121" s="4">
        <v>-2.0060381201865471</v>
      </c>
      <c r="E121" s="850" t="str">
        <f>IF(       0.667&lt;0.01,"***",IF(       0.667&lt;0.05,"**",IF(       0.667&lt;0.1,"*","NS")))</f>
        <v>NS</v>
      </c>
      <c r="G121" s="296" t="s">
        <v>3992</v>
      </c>
      <c r="H121" s="4">
        <v>71.427723783596434</v>
      </c>
      <c r="I121" s="4">
        <v>71.594161510984904</v>
      </c>
      <c r="J121" s="4">
        <v>0.16643772738846496</v>
      </c>
      <c r="K121" s="851" t="str">
        <f>IF(       0.971&lt;0.01,"***",IF(       0.971&lt;0.05,"**",IF(       0.971&lt;0.1,"*","NS")))</f>
        <v>NS</v>
      </c>
      <c r="L121" s="4">
        <v>62.636781948339603</v>
      </c>
      <c r="M121" s="4">
        <v>-8.7909418352568505</v>
      </c>
      <c r="N121" s="852" t="str">
        <f>IF(       0.207&lt;0.01,"***",IF(       0.207&lt;0.05,"**",IF(       0.207&lt;0.1,"*","NS")))</f>
        <v>NS</v>
      </c>
      <c r="P121" s="296" t="s">
        <v>4038</v>
      </c>
      <c r="Q121" s="4">
        <v>71.526666123954982</v>
      </c>
      <c r="R121" s="4">
        <v>62.636781948339603</v>
      </c>
      <c r="S121" s="4">
        <v>-8.8898841756153679</v>
      </c>
      <c r="T121" s="853" t="str">
        <f>IF(       0.122&lt;0.01,"***",IF(       0.122&lt;0.05,"**",IF(       0.122&lt;0.1,"*","NS")))</f>
        <v>NS</v>
      </c>
    </row>
    <row r="122" spans="1:20" x14ac:dyDescent="0.2">
      <c r="A122" s="296" t="s">
        <v>3953</v>
      </c>
      <c r="B122" s="4">
        <v>81.39674927111092</v>
      </c>
      <c r="C122" s="4">
        <v>60.885925072271696</v>
      </c>
      <c r="D122" s="4">
        <v>-20.51082419883944</v>
      </c>
      <c r="E122" s="854" t="str">
        <f>IF(       0&lt;0.01,"***",IF(       0&lt;0.05,"**",IF(       0&lt;0.1,"*","NS")))</f>
        <v>***</v>
      </c>
      <c r="G122" s="296" t="s">
        <v>3993</v>
      </c>
      <c r="H122" s="4">
        <v>81.39674927111092</v>
      </c>
      <c r="I122" s="4">
        <v>66.231645922626271</v>
      </c>
      <c r="J122" s="4">
        <v>-15.16510334848463</v>
      </c>
      <c r="K122" s="855" t="str">
        <f>IF(       0.004&lt;0.01,"***",IF(       0.004&lt;0.05,"**",IF(       0.004&lt;0.1,"*","NS")))</f>
        <v>***</v>
      </c>
      <c r="L122" s="4">
        <v>49.723780373788998</v>
      </c>
      <c r="M122" s="4">
        <v>-31.672968897321958</v>
      </c>
      <c r="N122" s="856" t="str">
        <f>IF(       0&lt;0.01,"***",IF(       0&lt;0.05,"**",IF(       0&lt;0.1,"*","NS")))</f>
        <v>***</v>
      </c>
      <c r="P122" s="296" t="s">
        <v>4039</v>
      </c>
      <c r="Q122" s="4">
        <v>72.665196430720599</v>
      </c>
      <c r="R122" s="4">
        <v>49.723780373788998</v>
      </c>
      <c r="S122" s="4">
        <v>-22.941416056931679</v>
      </c>
      <c r="T122" s="857" t="str">
        <f>IF(       0&lt;0.01,"***",IF(       0&lt;0.05,"**",IF(       0&lt;0.1,"*","NS")))</f>
        <v>***</v>
      </c>
    </row>
    <row r="123" spans="1:20" x14ac:dyDescent="0.2">
      <c r="A123" s="296" t="s">
        <v>3954</v>
      </c>
      <c r="B123" s="4" t="s">
        <v>6067</v>
      </c>
      <c r="C123" s="4" t="s">
        <v>6067</v>
      </c>
      <c r="D123" s="4" t="s">
        <v>6067</v>
      </c>
      <c r="E123" s="4" t="s">
        <v>6067</v>
      </c>
      <c r="G123" s="296" t="s">
        <v>3994</v>
      </c>
      <c r="H123" s="4" t="s">
        <v>6067</v>
      </c>
      <c r="I123" s="4" t="s">
        <v>6067</v>
      </c>
      <c r="J123" s="4" t="s">
        <v>6067</v>
      </c>
      <c r="K123" s="4" t="s">
        <v>6067</v>
      </c>
      <c r="L123" s="4" t="s">
        <v>6067</v>
      </c>
      <c r="M123" s="4" t="s">
        <v>6067</v>
      </c>
      <c r="N123" s="4" t="s">
        <v>6067</v>
      </c>
      <c r="P123" s="296" t="s">
        <v>4040</v>
      </c>
      <c r="Q123" s="4" t="s">
        <v>6067</v>
      </c>
      <c r="R123" s="4" t="s">
        <v>6067</v>
      </c>
      <c r="S123" s="4" t="s">
        <v>6067</v>
      </c>
      <c r="T123" s="4" t="s">
        <v>6067</v>
      </c>
    </row>
    <row r="124" spans="1:20" x14ac:dyDescent="0.2">
      <c r="A124" s="296" t="s">
        <v>3955</v>
      </c>
      <c r="B124" s="4">
        <v>19.35949909401555</v>
      </c>
      <c r="C124" s="4">
        <v>17.373250085418579</v>
      </c>
      <c r="D124" s="4">
        <v>-1.9862490085969735</v>
      </c>
      <c r="E124" s="858" t="str">
        <f>IF(       0.619&lt;0.01,"***",IF(       0.619&lt;0.05,"**",IF(       0.619&lt;0.1,"*","NS")))</f>
        <v>NS</v>
      </c>
      <c r="G124" s="296" t="s">
        <v>3995</v>
      </c>
      <c r="H124" s="4">
        <v>19.35949909401555</v>
      </c>
      <c r="I124" s="4">
        <v>19.793078829805228</v>
      </c>
      <c r="J124" s="4">
        <v>0.4335797357896784</v>
      </c>
      <c r="K124" s="859" t="str">
        <f>IF(       0.911&lt;0.01,"***",IF(       0.911&lt;0.05,"**",IF(       0.911&lt;0.1,"*","NS")))</f>
        <v>NS</v>
      </c>
      <c r="L124" s="4">
        <v>11.003397220647249</v>
      </c>
      <c r="M124" s="4">
        <v>-8.3561018733683188</v>
      </c>
      <c r="N124" s="860" t="str">
        <f>IF(       0.182&lt;0.01,"***",IF(       0.182&lt;0.05,"**",IF(       0.182&lt;0.1,"*","NS")))</f>
        <v>NS</v>
      </c>
      <c r="P124" s="296" t="s">
        <v>4041</v>
      </c>
      <c r="Q124" s="4">
        <v>19.539081067837831</v>
      </c>
      <c r="R124" s="4">
        <v>11.003397220647249</v>
      </c>
      <c r="S124" s="4">
        <v>-8.5356838471906347</v>
      </c>
      <c r="T124" s="861" t="str">
        <f>IF(       0.119&lt;0.01,"***",IF(       0.119&lt;0.05,"**",IF(       0.119&lt;0.1,"*","NS")))</f>
        <v>NS</v>
      </c>
    </row>
    <row r="125" spans="1:20" x14ac:dyDescent="0.2">
      <c r="A125" s="296" t="s">
        <v>3956</v>
      </c>
      <c r="B125" s="4">
        <v>71.808921400311206</v>
      </c>
      <c r="C125" s="4">
        <v>59.917176833808433</v>
      </c>
      <c r="D125" s="4">
        <v>-11.891744566502869</v>
      </c>
      <c r="E125" s="862" t="str">
        <f>IF(       0.019&lt;0.01,"***",IF(       0.019&lt;0.05,"**",IF(       0.019&lt;0.1,"*","NS")))</f>
        <v>**</v>
      </c>
      <c r="G125" s="296" t="s">
        <v>3996</v>
      </c>
      <c r="H125" s="4">
        <v>71.808921400311206</v>
      </c>
      <c r="I125" s="4">
        <v>69.572337231407644</v>
      </c>
      <c r="J125" s="4">
        <v>-2.2365841689035615</v>
      </c>
      <c r="K125" s="863" t="str">
        <f>IF(       0.639&lt;0.01,"***",IF(       0.639&lt;0.05,"**",IF(       0.639&lt;0.1,"*","NS")))</f>
        <v>NS</v>
      </c>
      <c r="L125" s="4">
        <v>49.47808484135701</v>
      </c>
      <c r="M125" s="4">
        <v>-22.33083655895425</v>
      </c>
      <c r="N125" s="864" t="str">
        <f>IF(       0&lt;0.01,"***",IF(       0&lt;0.05,"**",IF(       0&lt;0.1,"*","NS")))</f>
        <v>***</v>
      </c>
      <c r="P125" s="296" t="s">
        <v>4042</v>
      </c>
      <c r="Q125" s="4">
        <v>70.316503828838506</v>
      </c>
      <c r="R125" s="4">
        <v>49.47808484135701</v>
      </c>
      <c r="S125" s="4">
        <v>-20.838418987481514</v>
      </c>
      <c r="T125" s="865" t="str">
        <f>IF(       0&lt;0.01,"***",IF(       0&lt;0.05,"**",IF(       0&lt;0.1,"*","NS")))</f>
        <v>***</v>
      </c>
    </row>
    <row r="126" spans="1:20" x14ac:dyDescent="0.2">
      <c r="A126" s="296" t="s">
        <v>3957</v>
      </c>
      <c r="B126" s="4">
        <v>72.185469458217923</v>
      </c>
      <c r="C126" s="4">
        <v>58.569367709115276</v>
      </c>
      <c r="D126" s="4">
        <v>-13.616101749102652</v>
      </c>
      <c r="E126" s="866" t="str">
        <f>IF(       0.002&lt;0.01,"***",IF(       0.002&lt;0.05,"**",IF(       0.002&lt;0.1,"*","NS")))</f>
        <v>***</v>
      </c>
      <c r="G126" s="296" t="s">
        <v>3997</v>
      </c>
      <c r="H126" s="4">
        <v>72.185469458217923</v>
      </c>
      <c r="I126" s="4">
        <v>64.666998617851476</v>
      </c>
      <c r="J126" s="4">
        <v>-7.5184708403664198</v>
      </c>
      <c r="K126" s="867" t="str">
        <f>IF(       0.108&lt;0.01,"***",IF(       0.108&lt;0.05,"**",IF(       0.108&lt;0.1,"*","NS")))</f>
        <v>NS</v>
      </c>
      <c r="L126" s="4">
        <v>48.178903294364297</v>
      </c>
      <c r="M126" s="4">
        <v>-24.00656616385362</v>
      </c>
      <c r="N126" s="868" t="str">
        <f>IF(       0&lt;0.01,"***",IF(       0&lt;0.05,"**",IF(       0&lt;0.1,"*","NS")))</f>
        <v>***</v>
      </c>
      <c r="P126" s="296" t="s">
        <v>4043</v>
      </c>
      <c r="Q126" s="4">
        <v>67.186695508687365</v>
      </c>
      <c r="R126" s="4">
        <v>48.178903294364297</v>
      </c>
      <c r="S126" s="4">
        <v>-19.007792214323025</v>
      </c>
      <c r="T126" s="869" t="str">
        <f>IF(       0&lt;0.01,"***",IF(       0&lt;0.05,"**",IF(       0&lt;0.1,"*","NS")))</f>
        <v>***</v>
      </c>
    </row>
    <row r="127" spans="1:20" x14ac:dyDescent="0.2">
      <c r="A127" s="296" t="s">
        <v>3958</v>
      </c>
      <c r="B127" s="4">
        <v>83.810439344628961</v>
      </c>
      <c r="C127" s="4">
        <v>69.490103159016414</v>
      </c>
      <c r="D127" s="4">
        <v>-14.320336185612538</v>
      </c>
      <c r="E127" s="870" t="str">
        <f>IF(       0&lt;0.01,"***",IF(       0&lt;0.05,"**",IF(       0&lt;0.1,"*","NS")))</f>
        <v>***</v>
      </c>
      <c r="G127" s="296" t="s">
        <v>3998</v>
      </c>
      <c r="H127" s="4">
        <v>83.810439344628961</v>
      </c>
      <c r="I127" s="4">
        <v>70.632762460343102</v>
      </c>
      <c r="J127" s="4">
        <v>-13.177676884285866</v>
      </c>
      <c r="K127" s="871" t="str">
        <f>IF(       0.001&lt;0.01,"***",IF(       0.001&lt;0.05,"**",IF(       0.001&lt;0.1,"*","NS")))</f>
        <v>***</v>
      </c>
      <c r="L127" s="4">
        <v>67.197203082994164</v>
      </c>
      <c r="M127" s="4">
        <v>-16.61323626163481</v>
      </c>
      <c r="N127" s="872" t="str">
        <f>IF(       0.001&lt;0.01,"***",IF(       0.001&lt;0.05,"**",IF(       0.001&lt;0.1,"*","NS")))</f>
        <v>***</v>
      </c>
      <c r="P127" s="296" t="s">
        <v>4044</v>
      </c>
      <c r="Q127" s="4">
        <v>76.180218394968534</v>
      </c>
      <c r="R127" s="4">
        <v>67.197203082994164</v>
      </c>
      <c r="S127" s="4">
        <v>-8.9830153119744125</v>
      </c>
      <c r="T127" s="873" t="str">
        <f>IF(       0.033&lt;0.01,"***",IF(       0.033&lt;0.05,"**",IF(       0.033&lt;0.1,"*","NS")))</f>
        <v>**</v>
      </c>
    </row>
    <row r="128" spans="1:20" x14ac:dyDescent="0.2">
      <c r="A128" s="296" t="s">
        <v>3959</v>
      </c>
      <c r="B128" s="4">
        <v>87.564933991860087</v>
      </c>
      <c r="C128" s="4">
        <v>73.873189044221476</v>
      </c>
      <c r="D128" s="4">
        <v>-13.691744947638618</v>
      </c>
      <c r="E128" s="874" t="str">
        <f>IF(       0&lt;0.01,"***",IF(       0&lt;0.05,"**",IF(       0&lt;0.1,"*","NS")))</f>
        <v>***</v>
      </c>
      <c r="G128" s="296" t="s">
        <v>3999</v>
      </c>
      <c r="H128" s="4">
        <v>87.564933991860087</v>
      </c>
      <c r="I128" s="4">
        <v>79.272995939311599</v>
      </c>
      <c r="J128" s="4">
        <v>-8.2919380525484918</v>
      </c>
      <c r="K128" s="875" t="str">
        <f>IF(       0.023&lt;0.01,"***",IF(       0.023&lt;0.05,"**",IF(       0.023&lt;0.1,"*","NS")))</f>
        <v>**</v>
      </c>
      <c r="L128" s="4">
        <v>63.948503317466653</v>
      </c>
      <c r="M128" s="4">
        <v>-23.616430674393442</v>
      </c>
      <c r="N128" s="876" t="str">
        <f>IF(       0&lt;0.01,"***",IF(       0&lt;0.05,"**",IF(       0&lt;0.1,"*","NS")))</f>
        <v>***</v>
      </c>
      <c r="P128" s="296" t="s">
        <v>4045</v>
      </c>
      <c r="Q128" s="4">
        <v>82.907596409423817</v>
      </c>
      <c r="R128" s="4">
        <v>63.948503317466653</v>
      </c>
      <c r="S128" s="4">
        <v>-18.959093091957168</v>
      </c>
      <c r="T128" s="877" t="str">
        <f>IF(       0&lt;0.01,"***",IF(       0&lt;0.05,"**",IF(       0&lt;0.1,"*","NS")))</f>
        <v>***</v>
      </c>
    </row>
    <row r="129" spans="1:20" x14ac:dyDescent="0.2">
      <c r="A129" s="296" t="s">
        <v>3960</v>
      </c>
      <c r="B129" s="4">
        <v>74.030939637005915</v>
      </c>
      <c r="C129" s="4">
        <v>67.334058953565759</v>
      </c>
      <c r="D129" s="4">
        <v>-6.6968806834401597</v>
      </c>
      <c r="E129" s="878" t="str">
        <f>IF(       0.017&lt;0.01,"***",IF(       0.017&lt;0.05,"**",IF(       0.017&lt;0.1,"*","NS")))</f>
        <v>**</v>
      </c>
      <c r="G129" s="296" t="s">
        <v>4000</v>
      </c>
      <c r="H129" s="4">
        <v>74.030939637005915</v>
      </c>
      <c r="I129" s="4">
        <v>71.993427835726251</v>
      </c>
      <c r="J129" s="4">
        <v>-2.037511801279666</v>
      </c>
      <c r="K129" s="879" t="str">
        <f>IF(       0.401&lt;0.01,"***",IF(       0.401&lt;0.05,"**",IF(       0.401&lt;0.1,"*","NS")))</f>
        <v>NS</v>
      </c>
      <c r="L129" s="4">
        <v>55.396480431528353</v>
      </c>
      <c r="M129" s="4">
        <v>-18.634459205477558</v>
      </c>
      <c r="N129" s="880" t="str">
        <f>IF(       0.001&lt;0.01,"***",IF(       0.001&lt;0.05,"**",IF(       0.001&lt;0.1,"*","NS")))</f>
        <v>***</v>
      </c>
      <c r="P129" s="296" t="s">
        <v>4046</v>
      </c>
      <c r="Q129" s="4">
        <v>72.954395971567521</v>
      </c>
      <c r="R129" s="4">
        <v>55.396480431528353</v>
      </c>
      <c r="S129" s="4">
        <v>-17.557915540039172</v>
      </c>
      <c r="T129" s="881" t="str">
        <f>IF(       0.001&lt;0.01,"***",IF(       0.001&lt;0.05,"**",IF(       0.001&lt;0.1,"*","NS")))</f>
        <v>***</v>
      </c>
    </row>
    <row r="130" spans="1:20" x14ac:dyDescent="0.2">
      <c r="A130" s="296" t="s">
        <v>3961</v>
      </c>
      <c r="B130" s="4">
        <v>69.055224603561157</v>
      </c>
      <c r="C130" s="4">
        <v>55.097149208003422</v>
      </c>
      <c r="D130" s="4">
        <v>-13.958075395557742</v>
      </c>
      <c r="E130" s="882" t="str">
        <f>IF(       0&lt;0.01,"***",IF(       0&lt;0.05,"**",IF(       0&lt;0.1,"*","NS")))</f>
        <v>***</v>
      </c>
      <c r="G130" s="296" t="s">
        <v>4001</v>
      </c>
      <c r="H130" s="4">
        <v>69.055224603561157</v>
      </c>
      <c r="I130" s="4">
        <v>60.373913743220108</v>
      </c>
      <c r="J130" s="4">
        <v>-8.6813108603410445</v>
      </c>
      <c r="K130" s="883" t="str">
        <f>IF(       0.022&lt;0.01,"***",IF(       0.022&lt;0.05,"**",IF(       0.022&lt;0.1,"*","NS")))</f>
        <v>**</v>
      </c>
      <c r="L130" s="4">
        <v>48.688678787581701</v>
      </c>
      <c r="M130" s="4">
        <v>-20.366545815979507</v>
      </c>
      <c r="N130" s="884" t="str">
        <f>IF(       0&lt;0.01,"***",IF(       0&lt;0.05,"**",IF(       0&lt;0.1,"*","NS")))</f>
        <v>***</v>
      </c>
      <c r="P130" s="296" t="s">
        <v>4047</v>
      </c>
      <c r="Q130" s="4">
        <v>63.507059281798313</v>
      </c>
      <c r="R130" s="4">
        <v>48.688678787581701</v>
      </c>
      <c r="S130" s="4">
        <v>-14.818380494216663</v>
      </c>
      <c r="T130" s="885" t="str">
        <f>IF(       0&lt;0.01,"***",IF(       0&lt;0.05,"**",IF(       0&lt;0.1,"*","NS")))</f>
        <v>***</v>
      </c>
    </row>
    <row r="131" spans="1:20" x14ac:dyDescent="0.2">
      <c r="A131" s="296" t="s">
        <v>3962</v>
      </c>
      <c r="B131" s="4">
        <v>65.563236706449629</v>
      </c>
      <c r="C131" s="4">
        <v>60.900687574693329</v>
      </c>
      <c r="D131" s="4">
        <v>-4.6625491317563075</v>
      </c>
      <c r="E131" s="886" t="str">
        <f>IF(       0.182&lt;0.01,"***",IF(       0.182&lt;0.05,"**",IF(       0.182&lt;0.1,"*","NS")))</f>
        <v>NS</v>
      </c>
      <c r="G131" s="296" t="s">
        <v>4002</v>
      </c>
      <c r="H131" s="4">
        <v>65.563236706449629</v>
      </c>
      <c r="I131" s="4">
        <v>62.659455859509983</v>
      </c>
      <c r="J131" s="4">
        <v>-2.9037808469396413</v>
      </c>
      <c r="K131" s="887" t="str">
        <f>IF(       0.512&lt;0.01,"***",IF(       0.512&lt;0.05,"**",IF(       0.512&lt;0.1,"*","NS")))</f>
        <v>NS</v>
      </c>
      <c r="L131" s="4">
        <v>57.40709642628353</v>
      </c>
      <c r="M131" s="4">
        <v>-8.1561402801661309</v>
      </c>
      <c r="N131" s="888" t="str">
        <f>IF(       0.053&lt;0.01,"***",IF(       0.053&lt;0.05,"**",IF(       0.053&lt;0.1,"*","NS")))</f>
        <v>*</v>
      </c>
      <c r="P131" s="296" t="s">
        <v>4048</v>
      </c>
      <c r="Q131" s="4">
        <v>64.018307896184851</v>
      </c>
      <c r="R131" s="4">
        <v>57.40709642628353</v>
      </c>
      <c r="S131" s="4">
        <v>-6.6112114699012947</v>
      </c>
      <c r="T131" s="889" t="str">
        <f>IF(       0.133&lt;0.01,"***",IF(       0.133&lt;0.05,"**",IF(       0.133&lt;0.1,"*","NS")))</f>
        <v>NS</v>
      </c>
    </row>
    <row r="132" spans="1:20" x14ac:dyDescent="0.2">
      <c r="A132" s="296" t="s">
        <v>5835</v>
      </c>
      <c r="B132" s="4">
        <v>75.140298495245418</v>
      </c>
      <c r="C132" s="4">
        <v>63.235951356982532</v>
      </c>
      <c r="D132" s="4">
        <v>-11.904347138262958</v>
      </c>
      <c r="E132" s="890" t="str">
        <f>IF(       0&lt;0.01,"***",IF(       0&lt;0.05,"**",IF(       0&lt;0.1,"*","NS")))</f>
        <v>***</v>
      </c>
      <c r="G132" s="296" t="s">
        <v>5835</v>
      </c>
      <c r="H132" s="4">
        <v>75.140298495245418</v>
      </c>
      <c r="I132" s="4">
        <v>67.72701989890615</v>
      </c>
      <c r="J132" s="4">
        <v>-7.4132785963392873</v>
      </c>
      <c r="K132" s="891" t="str">
        <f>IF(       0&lt;0.01,"***",IF(       0&lt;0.05,"**",IF(       0&lt;0.1,"*","NS")))</f>
        <v>***</v>
      </c>
      <c r="L132" s="4">
        <v>54.643251938072432</v>
      </c>
      <c r="M132" s="4">
        <v>-20.497046557172812</v>
      </c>
      <c r="N132" s="892" t="str">
        <f>IF(       0&lt;0.01,"***",IF(       0&lt;0.05,"**",IF(       0&lt;0.1,"*","NS")))</f>
        <v>***</v>
      </c>
      <c r="P132" s="296" t="s">
        <v>5835</v>
      </c>
      <c r="Q132" s="4">
        <v>70.930188452575337</v>
      </c>
      <c r="R132" s="4">
        <v>54.643251938072432</v>
      </c>
      <c r="S132" s="4">
        <v>-16.286936514502749</v>
      </c>
      <c r="T132" s="893" t="str">
        <f>IF(       0&lt;0.01,"***",IF(       0&lt;0.05,"**",IF(       0&lt;0.1,"*","NS")))</f>
        <v>***</v>
      </c>
    </row>
  </sheetData>
  <pageMargins left="0.7" right="0.7" top="0.75" bottom="0.75" header="0.3" footer="0.3"/>
  <tableParts count="21">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32"/>
  <sheetViews>
    <sheetView zoomScaleNormal="100" workbookViewId="0">
      <selection activeCell="D14" sqref="D14"/>
    </sheetView>
  </sheetViews>
  <sheetFormatPr baseColWidth="10" defaultColWidth="8.83203125" defaultRowHeight="15" x14ac:dyDescent="0.2"/>
  <cols>
    <col min="1" max="1" width="9.33203125" style="296" customWidth="1"/>
    <col min="2" max="5" width="15.83203125" style="4" customWidth="1"/>
    <col min="6" max="6" width="8.83203125" style="4"/>
    <col min="7" max="7" width="15.83203125" style="296" customWidth="1"/>
    <col min="8" max="14" width="15.83203125" style="4" customWidth="1"/>
    <col min="15" max="15" width="8.83203125" style="4"/>
    <col min="16" max="16" width="15.83203125" style="296" customWidth="1"/>
    <col min="17" max="20" width="15.83203125" style="4" customWidth="1"/>
    <col min="21" max="16384" width="8.83203125" style="4"/>
  </cols>
  <sheetData>
    <row r="1" spans="1:20" x14ac:dyDescent="0.2">
      <c r="A1" s="296" t="s">
        <v>327</v>
      </c>
      <c r="G1" s="296" t="s">
        <v>431</v>
      </c>
      <c r="P1" s="296" t="s">
        <v>550</v>
      </c>
    </row>
    <row r="2" spans="1:20" s="3" customFormat="1" x14ac:dyDescent="0.2">
      <c r="A2" s="6504" t="s">
        <v>328</v>
      </c>
      <c r="B2" s="6505" t="s">
        <v>329</v>
      </c>
      <c r="C2" s="6506" t="s">
        <v>330</v>
      </c>
      <c r="D2" s="6507" t="s">
        <v>331</v>
      </c>
      <c r="E2" s="6508" t="s">
        <v>332</v>
      </c>
      <c r="G2" s="6509" t="s">
        <v>432</v>
      </c>
      <c r="H2" s="6510" t="s">
        <v>433</v>
      </c>
      <c r="I2" s="6511" t="s">
        <v>434</v>
      </c>
      <c r="J2" s="6512" t="s">
        <v>435</v>
      </c>
      <c r="K2" s="6513" t="s">
        <v>436</v>
      </c>
      <c r="L2" s="6514" t="s">
        <v>535</v>
      </c>
      <c r="M2" s="6515" t="s">
        <v>536</v>
      </c>
      <c r="N2" s="6516" t="s">
        <v>537</v>
      </c>
      <c r="P2" s="6517" t="s">
        <v>551</v>
      </c>
      <c r="Q2" s="6518" t="s">
        <v>552</v>
      </c>
      <c r="R2" s="6519" t="s">
        <v>553</v>
      </c>
      <c r="S2" s="6520" t="s">
        <v>554</v>
      </c>
      <c r="T2" s="6521" t="s">
        <v>555</v>
      </c>
    </row>
    <row r="3" spans="1:20" x14ac:dyDescent="0.2">
      <c r="A3" s="296" t="s">
        <v>333</v>
      </c>
      <c r="B3" s="4">
        <v>52.229653693040021</v>
      </c>
      <c r="C3" s="4">
        <v>69.02103068684201</v>
      </c>
      <c r="D3" s="4">
        <v>16.791376993801801</v>
      </c>
      <c r="E3" s="4734" t="str">
        <f t="shared" ref="E3:E9" si="0">IF(       0&lt;0.01,"***",IF(       0&lt;0.05,"**",IF(       0&lt;0.1,"*","NS")))</f>
        <v>***</v>
      </c>
      <c r="G3" s="296" t="s">
        <v>437</v>
      </c>
      <c r="H3" s="4">
        <v>52.229653693040021</v>
      </c>
      <c r="I3" s="4">
        <v>65.047719849455362</v>
      </c>
      <c r="J3" s="4">
        <v>12.818066156415219</v>
      </c>
      <c r="K3" s="4735" t="str">
        <f t="shared" ref="K3:K9" si="1">IF(       0&lt;0.01,"***",IF(       0&lt;0.05,"**",IF(       0&lt;0.1,"*","NS")))</f>
        <v>***</v>
      </c>
      <c r="L3" s="4">
        <v>84.520390181759083</v>
      </c>
      <c r="M3" s="4">
        <v>32.290736488719318</v>
      </c>
      <c r="N3" s="4736" t="str">
        <f t="shared" ref="N3:N9" si="2">IF(       0&lt;0.01,"***",IF(       0&lt;0.05,"**",IF(       0&lt;0.1,"*","NS")))</f>
        <v>***</v>
      </c>
      <c r="P3" s="296" t="s">
        <v>556</v>
      </c>
      <c r="Q3" s="4">
        <v>56.820669317001688</v>
      </c>
      <c r="R3" s="4">
        <v>84.520390181759083</v>
      </c>
      <c r="S3" s="4">
        <v>27.699720864757303</v>
      </c>
      <c r="T3" s="4737" t="str">
        <f t="shared" ref="T3:T9" si="3">IF(       0&lt;0.01,"***",IF(       0&lt;0.05,"**",IF(       0&lt;0.1,"*","NS")))</f>
        <v>***</v>
      </c>
    </row>
    <row r="4" spans="1:20" x14ac:dyDescent="0.2">
      <c r="A4" s="296" t="s">
        <v>334</v>
      </c>
      <c r="B4" s="4">
        <v>48.26548114230085</v>
      </c>
      <c r="C4" s="4">
        <v>73.312327907538304</v>
      </c>
      <c r="D4" s="4">
        <v>25.046846765237401</v>
      </c>
      <c r="E4" s="4738" t="str">
        <f t="shared" si="0"/>
        <v>***</v>
      </c>
      <c r="G4" s="296" t="s">
        <v>438</v>
      </c>
      <c r="H4" s="4">
        <v>48.26548114230085</v>
      </c>
      <c r="I4" s="4">
        <v>69.489381234307601</v>
      </c>
      <c r="J4" s="4">
        <v>21.223900092006886</v>
      </c>
      <c r="K4" s="4739" t="str">
        <f t="shared" si="1"/>
        <v>***</v>
      </c>
      <c r="L4" s="4">
        <v>83.334121656529177</v>
      </c>
      <c r="M4" s="4">
        <v>35.068640514228342</v>
      </c>
      <c r="N4" s="4740" t="str">
        <f t="shared" si="2"/>
        <v>***</v>
      </c>
      <c r="P4" s="296" t="s">
        <v>557</v>
      </c>
      <c r="Q4" s="4">
        <v>54.399419655806973</v>
      </c>
      <c r="R4" s="4">
        <v>83.334121656529177</v>
      </c>
      <c r="S4" s="4">
        <v>28.934702000722286</v>
      </c>
      <c r="T4" s="4741" t="str">
        <f t="shared" si="3"/>
        <v>***</v>
      </c>
    </row>
    <row r="5" spans="1:20" x14ac:dyDescent="0.2">
      <c r="A5" s="296" t="s">
        <v>335</v>
      </c>
      <c r="B5" s="4">
        <v>52.48036053036757</v>
      </c>
      <c r="C5" s="4">
        <v>70.690613584236786</v>
      </c>
      <c r="D5" s="4">
        <v>18.210253053869394</v>
      </c>
      <c r="E5" s="4742" t="str">
        <f t="shared" si="0"/>
        <v>***</v>
      </c>
      <c r="G5" s="296" t="s">
        <v>439</v>
      </c>
      <c r="H5" s="4">
        <v>52.48036053036757</v>
      </c>
      <c r="I5" s="4">
        <v>68.863725148743981</v>
      </c>
      <c r="J5" s="4">
        <v>16.383364618376557</v>
      </c>
      <c r="K5" s="4743" t="str">
        <f t="shared" si="1"/>
        <v>***</v>
      </c>
      <c r="L5" s="4">
        <v>76.165759518039181</v>
      </c>
      <c r="M5" s="4">
        <v>23.685398987671828</v>
      </c>
      <c r="N5" s="4744" t="str">
        <f t="shared" si="2"/>
        <v>***</v>
      </c>
      <c r="P5" s="296" t="s">
        <v>558</v>
      </c>
      <c r="Q5" s="4">
        <v>56.348235140551033</v>
      </c>
      <c r="R5" s="4">
        <v>76.165759518039181</v>
      </c>
      <c r="S5" s="4">
        <v>19.817524377488091</v>
      </c>
      <c r="T5" s="4745" t="str">
        <f t="shared" si="3"/>
        <v>***</v>
      </c>
    </row>
    <row r="6" spans="1:20" x14ac:dyDescent="0.2">
      <c r="A6" s="296" t="s">
        <v>336</v>
      </c>
      <c r="B6" s="4">
        <v>57.552178977169561</v>
      </c>
      <c r="C6" s="4">
        <v>70.456999707050954</v>
      </c>
      <c r="D6" s="4">
        <v>12.904820729881294</v>
      </c>
      <c r="E6" s="4746" t="str">
        <f t="shared" si="0"/>
        <v>***</v>
      </c>
      <c r="G6" s="296" t="s">
        <v>440</v>
      </c>
      <c r="H6" s="4">
        <v>57.552178977169561</v>
      </c>
      <c r="I6" s="4">
        <v>67.591095342681328</v>
      </c>
      <c r="J6" s="4">
        <v>10.038916365511616</v>
      </c>
      <c r="K6" s="4747" t="str">
        <f t="shared" si="1"/>
        <v>***</v>
      </c>
      <c r="L6" s="4">
        <v>81.315886276992188</v>
      </c>
      <c r="M6" s="4">
        <v>23.763707299822972</v>
      </c>
      <c r="N6" s="4748" t="str">
        <f t="shared" si="2"/>
        <v>***</v>
      </c>
      <c r="P6" s="296" t="s">
        <v>559</v>
      </c>
      <c r="Q6" s="4">
        <v>60.486022340385539</v>
      </c>
      <c r="R6" s="4">
        <v>81.315886276992188</v>
      </c>
      <c r="S6" s="4">
        <v>20.829863936606301</v>
      </c>
      <c r="T6" s="4749" t="str">
        <f t="shared" si="3"/>
        <v>***</v>
      </c>
    </row>
    <row r="7" spans="1:20" x14ac:dyDescent="0.2">
      <c r="A7" s="296" t="s">
        <v>337</v>
      </c>
      <c r="B7" s="4">
        <v>61.243756644714033</v>
      </c>
      <c r="C7" s="4">
        <v>75.407848572453958</v>
      </c>
      <c r="D7" s="4">
        <v>14.164091927739797</v>
      </c>
      <c r="E7" s="4750" t="str">
        <f t="shared" si="0"/>
        <v>***</v>
      </c>
      <c r="G7" s="296" t="s">
        <v>441</v>
      </c>
      <c r="H7" s="4">
        <v>61.243756644714033</v>
      </c>
      <c r="I7" s="4">
        <v>73.167217080043997</v>
      </c>
      <c r="J7" s="4">
        <v>11.923460435329989</v>
      </c>
      <c r="K7" s="4751" t="str">
        <f t="shared" si="1"/>
        <v>***</v>
      </c>
      <c r="L7" s="4">
        <v>86.174931209626521</v>
      </c>
      <c r="M7" s="4">
        <v>24.931174564912602</v>
      </c>
      <c r="N7" s="4752" t="str">
        <f t="shared" si="2"/>
        <v>***</v>
      </c>
      <c r="P7" s="296" t="s">
        <v>560</v>
      </c>
      <c r="Q7" s="4">
        <v>64.406875685313594</v>
      </c>
      <c r="R7" s="4">
        <v>86.174931209626521</v>
      </c>
      <c r="S7" s="4">
        <v>21.768055524312739</v>
      </c>
      <c r="T7" s="4753" t="str">
        <f t="shared" si="3"/>
        <v>***</v>
      </c>
    </row>
    <row r="8" spans="1:20" x14ac:dyDescent="0.2">
      <c r="A8" s="296" t="s">
        <v>338</v>
      </c>
      <c r="B8" s="4">
        <v>43.520143630756991</v>
      </c>
      <c r="C8" s="4">
        <v>65.233006614840889</v>
      </c>
      <c r="D8" s="4">
        <v>21.712862984083742</v>
      </c>
      <c r="E8" s="4754" t="str">
        <f t="shared" si="0"/>
        <v>***</v>
      </c>
      <c r="G8" s="296" t="s">
        <v>442</v>
      </c>
      <c r="H8" s="4">
        <v>43.520143630756991</v>
      </c>
      <c r="I8" s="4">
        <v>61.810613398051999</v>
      </c>
      <c r="J8" s="4">
        <v>18.29046976729493</v>
      </c>
      <c r="K8" s="4755" t="str">
        <f t="shared" si="1"/>
        <v>***</v>
      </c>
      <c r="L8" s="4">
        <v>75.98621342551391</v>
      </c>
      <c r="M8" s="4">
        <v>32.466069794757111</v>
      </c>
      <c r="N8" s="4756" t="str">
        <f t="shared" si="2"/>
        <v>***</v>
      </c>
      <c r="P8" s="296" t="s">
        <v>561</v>
      </c>
      <c r="Q8" s="4">
        <v>48.667601140287147</v>
      </c>
      <c r="R8" s="4">
        <v>75.98621342551391</v>
      </c>
      <c r="S8" s="4">
        <v>27.318612285227427</v>
      </c>
      <c r="T8" s="4757" t="str">
        <f t="shared" si="3"/>
        <v>***</v>
      </c>
    </row>
    <row r="9" spans="1:20" x14ac:dyDescent="0.2">
      <c r="A9" s="296" t="s">
        <v>339</v>
      </c>
      <c r="B9" s="4">
        <v>16.678963565912579</v>
      </c>
      <c r="C9" s="4">
        <v>30.346880108786241</v>
      </c>
      <c r="D9" s="4">
        <v>13.667916542873566</v>
      </c>
      <c r="E9" s="4758" t="str">
        <f t="shared" si="0"/>
        <v>***</v>
      </c>
      <c r="G9" s="296" t="s">
        <v>443</v>
      </c>
      <c r="H9" s="4">
        <v>16.678963565912579</v>
      </c>
      <c r="I9" s="4">
        <v>27.859380772046581</v>
      </c>
      <c r="J9" s="4">
        <v>11.180417206133843</v>
      </c>
      <c r="K9" s="4759" t="str">
        <f t="shared" si="1"/>
        <v>***</v>
      </c>
      <c r="L9" s="4">
        <v>42.082009333262867</v>
      </c>
      <c r="M9" s="4">
        <v>25.403045767350005</v>
      </c>
      <c r="N9" s="4760" t="str">
        <f t="shared" si="2"/>
        <v>***</v>
      </c>
      <c r="P9" s="296" t="s">
        <v>562</v>
      </c>
      <c r="Q9" s="4">
        <v>18.352828633680019</v>
      </c>
      <c r="R9" s="4">
        <v>42.082009333262867</v>
      </c>
      <c r="S9" s="4">
        <v>23.729180699582756</v>
      </c>
      <c r="T9" s="4761" t="str">
        <f t="shared" si="3"/>
        <v>***</v>
      </c>
    </row>
    <row r="10" spans="1:20" x14ac:dyDescent="0.2">
      <c r="A10" s="296" t="s">
        <v>340</v>
      </c>
      <c r="B10" s="4">
        <v>85.533508175132951</v>
      </c>
      <c r="C10" s="4">
        <v>90.588006324224708</v>
      </c>
      <c r="D10" s="4">
        <v>5.0544981490917626</v>
      </c>
      <c r="E10" s="4762" t="str">
        <f>IF(       0.003&lt;0.01,"***",IF(       0.003&lt;0.05,"**",IF(       0.003&lt;0.1,"*","NS")))</f>
        <v>***</v>
      </c>
      <c r="G10" s="296" t="s">
        <v>444</v>
      </c>
      <c r="H10" s="4">
        <v>85.533508175132951</v>
      </c>
      <c r="I10" s="4">
        <v>89.945605334853866</v>
      </c>
      <c r="J10" s="4">
        <v>4.4120971597209788</v>
      </c>
      <c r="K10" s="4763" t="str">
        <f>IF(       0.017&lt;0.01,"***",IF(       0.017&lt;0.05,"**",IF(       0.017&lt;0.1,"*","NS")))</f>
        <v>**</v>
      </c>
      <c r="L10" s="4">
        <v>92.685952605114579</v>
      </c>
      <c r="M10" s="4">
        <v>7.1524444299816476</v>
      </c>
      <c r="N10" s="4764" t="str">
        <f>IF(       0.02&lt;0.01,"***",IF(       0.02&lt;0.05,"**",IF(       0.02&lt;0.1,"*","NS")))</f>
        <v>**</v>
      </c>
      <c r="P10" s="296" t="s">
        <v>563</v>
      </c>
      <c r="Q10" s="4">
        <v>86.348973790458075</v>
      </c>
      <c r="R10" s="4">
        <v>92.685952605114579</v>
      </c>
      <c r="S10" s="4">
        <v>6.3369788146564963</v>
      </c>
      <c r="T10" s="4765" t="str">
        <f>IF(       0.036&lt;0.01,"***",IF(       0.036&lt;0.05,"**",IF(       0.036&lt;0.1,"*","NS")))</f>
        <v>**</v>
      </c>
    </row>
    <row r="11" spans="1:20" x14ac:dyDescent="0.2">
      <c r="A11" s="296" t="s">
        <v>341</v>
      </c>
      <c r="B11" s="4">
        <v>47.632521827635657</v>
      </c>
      <c r="C11" s="4">
        <v>70.286786361473204</v>
      </c>
      <c r="D11" s="4">
        <v>22.654264533837519</v>
      </c>
      <c r="E11" s="4766" t="str">
        <f t="shared" ref="E11:E18" si="4">IF(       0&lt;0.01,"***",IF(       0&lt;0.05,"**",IF(       0&lt;0.1,"*","NS")))</f>
        <v>***</v>
      </c>
      <c r="G11" s="296" t="s">
        <v>445</v>
      </c>
      <c r="H11" s="4">
        <v>47.632521827635657</v>
      </c>
      <c r="I11" s="4">
        <v>65.247656079126159</v>
      </c>
      <c r="J11" s="4">
        <v>17.615134251490669</v>
      </c>
      <c r="K11" s="4767" t="str">
        <f t="shared" ref="K11:K16" si="5">IF(       0&lt;0.01,"***",IF(       0&lt;0.05,"**",IF(       0&lt;0.1,"*","NS")))</f>
        <v>***</v>
      </c>
      <c r="L11" s="4">
        <v>78.358335736534301</v>
      </c>
      <c r="M11" s="4">
        <v>30.725813908898331</v>
      </c>
      <c r="N11" s="4768" t="str">
        <f t="shared" ref="N11:N18" si="6">IF(       0&lt;0.01,"***",IF(       0&lt;0.05,"**",IF(       0&lt;0.1,"*","NS")))</f>
        <v>***</v>
      </c>
      <c r="P11" s="296" t="s">
        <v>564</v>
      </c>
      <c r="Q11" s="4">
        <v>53.603307892802029</v>
      </c>
      <c r="R11" s="4">
        <v>78.358335736534301</v>
      </c>
      <c r="S11" s="4">
        <v>24.755027843732329</v>
      </c>
      <c r="T11" s="4769" t="str">
        <f t="shared" ref="T11:T16" si="7">IF(       0&lt;0.01,"***",IF(       0&lt;0.05,"**",IF(       0&lt;0.1,"*","NS")))</f>
        <v>***</v>
      </c>
    </row>
    <row r="12" spans="1:20" x14ac:dyDescent="0.2">
      <c r="A12" s="296" t="s">
        <v>342</v>
      </c>
      <c r="B12" s="4">
        <v>61.878902099679067</v>
      </c>
      <c r="C12" s="4">
        <v>71.706828472055562</v>
      </c>
      <c r="D12" s="4">
        <v>9.8279263723763357</v>
      </c>
      <c r="E12" s="4770" t="str">
        <f t="shared" si="4"/>
        <v>***</v>
      </c>
      <c r="G12" s="296" t="s">
        <v>446</v>
      </c>
      <c r="H12" s="4">
        <v>61.878902099679067</v>
      </c>
      <c r="I12" s="4">
        <v>69.399489759301417</v>
      </c>
      <c r="J12" s="4">
        <v>7.5205876596222909</v>
      </c>
      <c r="K12" s="4771" t="str">
        <f t="shared" si="5"/>
        <v>***</v>
      </c>
      <c r="L12" s="4">
        <v>79.234377296690724</v>
      </c>
      <c r="M12" s="4">
        <v>17.355475197011618</v>
      </c>
      <c r="N12" s="4772" t="str">
        <f t="shared" si="6"/>
        <v>***</v>
      </c>
      <c r="P12" s="296" t="s">
        <v>565</v>
      </c>
      <c r="Q12" s="4">
        <v>64.783910634614529</v>
      </c>
      <c r="R12" s="4">
        <v>79.234377296690724</v>
      </c>
      <c r="S12" s="4">
        <v>14.450466662076197</v>
      </c>
      <c r="T12" s="4773" t="str">
        <f t="shared" si="7"/>
        <v>***</v>
      </c>
    </row>
    <row r="13" spans="1:20" x14ac:dyDescent="0.2">
      <c r="A13" s="296" t="s">
        <v>343</v>
      </c>
      <c r="B13" s="4">
        <v>40.159058812102963</v>
      </c>
      <c r="C13" s="4">
        <v>66.779842914932374</v>
      </c>
      <c r="D13" s="4">
        <v>26.620784102829681</v>
      </c>
      <c r="E13" s="4774" t="str">
        <f t="shared" si="4"/>
        <v>***</v>
      </c>
      <c r="G13" s="296" t="s">
        <v>447</v>
      </c>
      <c r="H13" s="4">
        <v>40.159058812102963</v>
      </c>
      <c r="I13" s="4">
        <v>64.001540020662617</v>
      </c>
      <c r="J13" s="4">
        <v>23.842481208559899</v>
      </c>
      <c r="K13" s="4775" t="str">
        <f t="shared" si="5"/>
        <v>***</v>
      </c>
      <c r="L13" s="4">
        <v>74.544067107275595</v>
      </c>
      <c r="M13" s="4">
        <v>34.385008295172618</v>
      </c>
      <c r="N13" s="4776" t="str">
        <f t="shared" si="6"/>
        <v>***</v>
      </c>
      <c r="P13" s="296" t="s">
        <v>566</v>
      </c>
      <c r="Q13" s="4">
        <v>45.879623732177834</v>
      </c>
      <c r="R13" s="4">
        <v>74.544067107275595</v>
      </c>
      <c r="S13" s="4">
        <v>28.664443375098134</v>
      </c>
      <c r="T13" s="4777" t="str">
        <f t="shared" si="7"/>
        <v>***</v>
      </c>
    </row>
    <row r="14" spans="1:20" x14ac:dyDescent="0.2">
      <c r="A14" s="296" t="s">
        <v>344</v>
      </c>
      <c r="B14" s="4">
        <v>28.3870863489526</v>
      </c>
      <c r="C14" s="4">
        <v>57.363286725369463</v>
      </c>
      <c r="D14" s="4">
        <v>28.976200376416646</v>
      </c>
      <c r="E14" s="4778" t="str">
        <f t="shared" si="4"/>
        <v>***</v>
      </c>
      <c r="G14" s="296" t="s">
        <v>448</v>
      </c>
      <c r="H14" s="4">
        <v>28.3870863489526</v>
      </c>
      <c r="I14" s="4">
        <v>51.101502201894462</v>
      </c>
      <c r="J14" s="4">
        <v>22.714415852942306</v>
      </c>
      <c r="K14" s="4779" t="str">
        <f t="shared" si="5"/>
        <v>***</v>
      </c>
      <c r="L14" s="4">
        <v>75.996820201597174</v>
      </c>
      <c r="M14" s="4">
        <v>47.609733852643856</v>
      </c>
      <c r="N14" s="4780" t="str">
        <f t="shared" si="6"/>
        <v>***</v>
      </c>
      <c r="P14" s="296" t="s">
        <v>567</v>
      </c>
      <c r="Q14" s="4">
        <v>33.360447098026448</v>
      </c>
      <c r="R14" s="4">
        <v>75.996820201597174</v>
      </c>
      <c r="S14" s="4">
        <v>42.636373103569937</v>
      </c>
      <c r="T14" s="4781" t="str">
        <f t="shared" si="7"/>
        <v>***</v>
      </c>
    </row>
    <row r="15" spans="1:20" x14ac:dyDescent="0.2">
      <c r="A15" s="296" t="s">
        <v>345</v>
      </c>
      <c r="B15" s="4">
        <v>55.483726162659408</v>
      </c>
      <c r="C15" s="4">
        <v>71.940884036498616</v>
      </c>
      <c r="D15" s="4">
        <v>16.457157873839197</v>
      </c>
      <c r="E15" s="4782" t="str">
        <f t="shared" si="4"/>
        <v>***</v>
      </c>
      <c r="G15" s="296" t="s">
        <v>449</v>
      </c>
      <c r="H15" s="4">
        <v>55.483726162659408</v>
      </c>
      <c r="I15" s="4">
        <v>69.540554212585192</v>
      </c>
      <c r="J15" s="4">
        <v>14.056828049926073</v>
      </c>
      <c r="K15" s="4783" t="str">
        <f t="shared" si="5"/>
        <v>***</v>
      </c>
      <c r="L15" s="4">
        <v>79.395773802747357</v>
      </c>
      <c r="M15" s="4">
        <v>23.912047640087579</v>
      </c>
      <c r="N15" s="4784" t="str">
        <f t="shared" si="6"/>
        <v>***</v>
      </c>
      <c r="P15" s="296" t="s">
        <v>568</v>
      </c>
      <c r="Q15" s="4">
        <v>58.642648353691683</v>
      </c>
      <c r="R15" s="4">
        <v>79.395773802747357</v>
      </c>
      <c r="S15" s="4">
        <v>20.753125449055489</v>
      </c>
      <c r="T15" s="4785" t="str">
        <f t="shared" si="7"/>
        <v>***</v>
      </c>
    </row>
    <row r="16" spans="1:20" x14ac:dyDescent="0.2">
      <c r="A16" s="296" t="s">
        <v>346</v>
      </c>
      <c r="B16" s="4">
        <v>53.564230866740438</v>
      </c>
      <c r="C16" s="4">
        <v>70.851375205173923</v>
      </c>
      <c r="D16" s="4">
        <v>17.2871443384334</v>
      </c>
      <c r="E16" s="4786" t="str">
        <f t="shared" si="4"/>
        <v>***</v>
      </c>
      <c r="G16" s="296" t="s">
        <v>450</v>
      </c>
      <c r="H16" s="4">
        <v>53.564230866740438</v>
      </c>
      <c r="I16" s="4">
        <v>66.905265439525508</v>
      </c>
      <c r="J16" s="4">
        <v>13.341034572784723</v>
      </c>
      <c r="K16" s="4787" t="str">
        <f t="shared" si="5"/>
        <v>***</v>
      </c>
      <c r="L16" s="4">
        <v>79.629285429167069</v>
      </c>
      <c r="M16" s="4">
        <v>26.065054562426674</v>
      </c>
      <c r="N16" s="4788" t="str">
        <f t="shared" si="6"/>
        <v>***</v>
      </c>
      <c r="P16" s="296" t="s">
        <v>569</v>
      </c>
      <c r="Q16" s="4">
        <v>57.961604586248257</v>
      </c>
      <c r="R16" s="4">
        <v>79.629285429167069</v>
      </c>
      <c r="S16" s="4">
        <v>21.667680842918077</v>
      </c>
      <c r="T16" s="4789" t="str">
        <f t="shared" si="7"/>
        <v>***</v>
      </c>
    </row>
    <row r="17" spans="1:20" x14ac:dyDescent="0.2">
      <c r="A17" s="296" t="s">
        <v>347</v>
      </c>
      <c r="B17" s="4">
        <v>65.662148685283924</v>
      </c>
      <c r="C17" s="4">
        <v>74.982875161612043</v>
      </c>
      <c r="D17" s="4">
        <v>9.3207264763280424</v>
      </c>
      <c r="E17" s="4790" t="str">
        <f t="shared" si="4"/>
        <v>***</v>
      </c>
      <c r="G17" s="296" t="s">
        <v>451</v>
      </c>
      <c r="H17" s="4">
        <v>65.662148685283924</v>
      </c>
      <c r="I17" s="4">
        <v>74.705217962003829</v>
      </c>
      <c r="J17" s="4">
        <v>9.0430692767197147</v>
      </c>
      <c r="K17" s="4791" t="str">
        <f>IF(       0.001&lt;0.01,"***",IF(       0.001&lt;0.05,"**",IF(       0.001&lt;0.1,"*","NS")))</f>
        <v>***</v>
      </c>
      <c r="L17" s="4">
        <v>75.862898926125453</v>
      </c>
      <c r="M17" s="4">
        <v>10.200750240841732</v>
      </c>
      <c r="N17" s="4792" t="str">
        <f t="shared" si="6"/>
        <v>***</v>
      </c>
      <c r="P17" s="296" t="s">
        <v>570</v>
      </c>
      <c r="Q17" s="4">
        <v>68.012357317807442</v>
      </c>
      <c r="R17" s="4">
        <v>75.862898926125453</v>
      </c>
      <c r="S17" s="4">
        <v>7.8505416083182062</v>
      </c>
      <c r="T17" s="4793" t="str">
        <f>IF(       0.003&lt;0.01,"***",IF(       0.003&lt;0.05,"**",IF(       0.003&lt;0.1,"*","NS")))</f>
        <v>***</v>
      </c>
    </row>
    <row r="18" spans="1:20" x14ac:dyDescent="0.2">
      <c r="A18" s="296" t="s">
        <v>5835</v>
      </c>
      <c r="B18" s="4">
        <v>47.58026495933877</v>
      </c>
      <c r="C18" s="4">
        <v>68.398091465965237</v>
      </c>
      <c r="D18" s="4">
        <v>20.817826506626734</v>
      </c>
      <c r="E18" s="4794" t="str">
        <f t="shared" si="4"/>
        <v>***</v>
      </c>
      <c r="G18" s="296" t="s">
        <v>5835</v>
      </c>
      <c r="H18" s="4">
        <v>47.58026495933877</v>
      </c>
      <c r="I18" s="4">
        <v>65.063422400557769</v>
      </c>
      <c r="J18" s="4">
        <v>17.483157441218331</v>
      </c>
      <c r="K18" s="4795" t="str">
        <f>IF(       0&lt;0.01,"***",IF(       0&lt;0.05,"**",IF(       0&lt;0.1,"*","NS")))</f>
        <v>***</v>
      </c>
      <c r="L18" s="4">
        <v>78.270556718020643</v>
      </c>
      <c r="M18" s="4">
        <v>30.690291758680605</v>
      </c>
      <c r="N18" s="4796" t="str">
        <f t="shared" si="6"/>
        <v>***</v>
      </c>
      <c r="P18" s="296" t="s">
        <v>5835</v>
      </c>
      <c r="Q18" s="4">
        <v>52.26582286467734</v>
      </c>
      <c r="R18" s="4">
        <v>78.270556718020643</v>
      </c>
      <c r="S18" s="4">
        <v>26.004733853343346</v>
      </c>
      <c r="T18" s="4797" t="str">
        <f>IF(       0&lt;0.01,"***",IF(       0&lt;0.05,"**",IF(       0&lt;0.1,"*","NS")))</f>
        <v>***</v>
      </c>
    </row>
    <row r="20" spans="1:20" x14ac:dyDescent="0.2">
      <c r="A20" s="296" t="s">
        <v>348</v>
      </c>
      <c r="G20" s="296" t="s">
        <v>452</v>
      </c>
      <c r="P20" s="296" t="s">
        <v>571</v>
      </c>
    </row>
    <row r="21" spans="1:20" s="3" customFormat="1" x14ac:dyDescent="0.2">
      <c r="A21" s="6522" t="s">
        <v>349</v>
      </c>
      <c r="B21" s="6523" t="s">
        <v>350</v>
      </c>
      <c r="C21" s="6524" t="s">
        <v>351</v>
      </c>
      <c r="D21" s="6525" t="s">
        <v>352</v>
      </c>
      <c r="E21" s="6526" t="s">
        <v>353</v>
      </c>
      <c r="G21" s="6527" t="s">
        <v>453</v>
      </c>
      <c r="H21" s="6528" t="s">
        <v>454</v>
      </c>
      <c r="I21" s="6529" t="s">
        <v>455</v>
      </c>
      <c r="J21" s="6530" t="s">
        <v>456</v>
      </c>
      <c r="K21" s="6531" t="s">
        <v>457</v>
      </c>
      <c r="L21" s="6532" t="s">
        <v>538</v>
      </c>
      <c r="M21" s="6533" t="s">
        <v>539</v>
      </c>
      <c r="N21" s="6534" t="s">
        <v>540</v>
      </c>
      <c r="P21" s="6535" t="s">
        <v>572</v>
      </c>
      <c r="Q21" s="6536" t="s">
        <v>573</v>
      </c>
      <c r="R21" s="6537" t="s">
        <v>574</v>
      </c>
      <c r="S21" s="6538" t="s">
        <v>575</v>
      </c>
      <c r="T21" s="6539" t="s">
        <v>576</v>
      </c>
    </row>
    <row r="22" spans="1:20" x14ac:dyDescent="0.2">
      <c r="A22" s="296" t="s">
        <v>354</v>
      </c>
      <c r="B22" s="4">
        <v>64.921985282724719</v>
      </c>
      <c r="C22" s="4">
        <v>80.837530238347682</v>
      </c>
      <c r="D22" s="4">
        <v>15.915544955623099</v>
      </c>
      <c r="E22" s="4798" t="str">
        <f>IF(       0&lt;0.01,"***",IF(       0&lt;0.05,"**",IF(       0&lt;0.1,"*","NS")))</f>
        <v>***</v>
      </c>
      <c r="G22" s="296" t="s">
        <v>458</v>
      </c>
      <c r="H22" s="4">
        <v>64.921985282724719</v>
      </c>
      <c r="I22" s="4">
        <v>77.402575049034994</v>
      </c>
      <c r="J22" s="4">
        <v>12.480589766310191</v>
      </c>
      <c r="K22" s="4799" t="str">
        <f>IF(       0&lt;0.01,"***",IF(       0&lt;0.05,"**",IF(       0&lt;0.1,"*","NS")))</f>
        <v>***</v>
      </c>
      <c r="L22" s="4">
        <v>92.656762114347501</v>
      </c>
      <c r="M22" s="4">
        <v>27.734776831622611</v>
      </c>
      <c r="N22" s="4800" t="str">
        <f t="shared" ref="N22:N27" si="8">IF(       0&lt;0.01,"***",IF(       0&lt;0.05,"**",IF(       0&lt;0.1,"*","NS")))</f>
        <v>***</v>
      </c>
      <c r="P22" s="296" t="s">
        <v>577</v>
      </c>
      <c r="Q22" s="4">
        <v>69.615399155894551</v>
      </c>
      <c r="R22" s="4">
        <v>92.656762114347501</v>
      </c>
      <c r="S22" s="4">
        <v>23.041362958452989</v>
      </c>
      <c r="T22" s="4801" t="str">
        <f t="shared" ref="T22:T27" si="9">IF(       0&lt;0.01,"***",IF(       0&lt;0.05,"**",IF(       0&lt;0.1,"*","NS")))</f>
        <v>***</v>
      </c>
    </row>
    <row r="23" spans="1:20" x14ac:dyDescent="0.2">
      <c r="A23" s="296" t="s">
        <v>355</v>
      </c>
      <c r="B23" s="4">
        <v>49.033351838159938</v>
      </c>
      <c r="C23" s="4">
        <v>76.844640140640152</v>
      </c>
      <c r="D23" s="4">
        <v>27.811288302480424</v>
      </c>
      <c r="E23" s="4802" t="str">
        <f>IF(       0&lt;0.01,"***",IF(       0&lt;0.05,"**",IF(       0&lt;0.1,"*","NS")))</f>
        <v>***</v>
      </c>
      <c r="G23" s="296" t="s">
        <v>459</v>
      </c>
      <c r="H23" s="4">
        <v>49.033351838159938</v>
      </c>
      <c r="I23" s="4">
        <v>72.604177859923453</v>
      </c>
      <c r="J23" s="4">
        <v>23.570826021763416</v>
      </c>
      <c r="K23" s="4803" t="str">
        <f>IF(       0&lt;0.01,"***",IF(       0&lt;0.05,"**",IF(       0&lt;0.1,"*","NS")))</f>
        <v>***</v>
      </c>
      <c r="L23" s="4">
        <v>87.731342750884693</v>
      </c>
      <c r="M23" s="4">
        <v>38.697990912724677</v>
      </c>
      <c r="N23" s="4804" t="str">
        <f t="shared" si="8"/>
        <v>***</v>
      </c>
      <c r="P23" s="296" t="s">
        <v>578</v>
      </c>
      <c r="Q23" s="4">
        <v>56.861418052198502</v>
      </c>
      <c r="R23" s="4">
        <v>87.731342750884693</v>
      </c>
      <c r="S23" s="4">
        <v>30.869924698686443</v>
      </c>
      <c r="T23" s="4805" t="str">
        <f t="shared" si="9"/>
        <v>***</v>
      </c>
    </row>
    <row r="24" spans="1:20" x14ac:dyDescent="0.2">
      <c r="A24" s="296" t="s">
        <v>356</v>
      </c>
      <c r="B24" s="4">
        <v>55.024269385094229</v>
      </c>
      <c r="C24" s="4">
        <v>78.924278082282001</v>
      </c>
      <c r="D24" s="4">
        <v>23.900008697187772</v>
      </c>
      <c r="E24" s="4806" t="str">
        <f>IF(       0&lt;0.01,"***",IF(       0&lt;0.05,"**",IF(       0&lt;0.1,"*","NS")))</f>
        <v>***</v>
      </c>
      <c r="G24" s="296" t="s">
        <v>460</v>
      </c>
      <c r="H24" s="4">
        <v>55.024269385094229</v>
      </c>
      <c r="I24" s="4">
        <v>77.026427011579756</v>
      </c>
      <c r="J24" s="4">
        <v>22.002157626485669</v>
      </c>
      <c r="K24" s="4807" t="str">
        <f>IF(       0&lt;0.01,"***",IF(       0&lt;0.05,"**",IF(       0&lt;0.1,"*","NS")))</f>
        <v>***</v>
      </c>
      <c r="L24" s="4">
        <v>83.997394888197462</v>
      </c>
      <c r="M24" s="4">
        <v>28.973125503103265</v>
      </c>
      <c r="N24" s="4808" t="str">
        <f t="shared" si="8"/>
        <v>***</v>
      </c>
      <c r="P24" s="296" t="s">
        <v>579</v>
      </c>
      <c r="Q24" s="4">
        <v>60.224526132173892</v>
      </c>
      <c r="R24" s="4">
        <v>83.997394888197462</v>
      </c>
      <c r="S24" s="4">
        <v>23.77286875602363</v>
      </c>
      <c r="T24" s="4809" t="str">
        <f t="shared" si="9"/>
        <v>***</v>
      </c>
    </row>
    <row r="25" spans="1:20" x14ac:dyDescent="0.2">
      <c r="A25" s="296" t="s">
        <v>357</v>
      </c>
      <c r="B25" s="4">
        <v>63.097574330000683</v>
      </c>
      <c r="C25" s="4">
        <v>77.852575441389789</v>
      </c>
      <c r="D25" s="4">
        <v>14.755001111388983</v>
      </c>
      <c r="E25" s="4810" t="str">
        <f>IF(       0&lt;0.01,"***",IF(       0&lt;0.05,"**",IF(       0&lt;0.1,"*","NS")))</f>
        <v>***</v>
      </c>
      <c r="G25" s="296" t="s">
        <v>461</v>
      </c>
      <c r="H25" s="4">
        <v>63.097574330000683</v>
      </c>
      <c r="I25" s="4">
        <v>74.414468567886942</v>
      </c>
      <c r="J25" s="4">
        <v>11.316894237886242</v>
      </c>
      <c r="K25" s="4811" t="str">
        <f>IF(       0.001&lt;0.01,"***",IF(       0.001&lt;0.05,"**",IF(       0.001&lt;0.1,"*","NS")))</f>
        <v>***</v>
      </c>
      <c r="L25" s="4">
        <v>89.976456619650989</v>
      </c>
      <c r="M25" s="4">
        <v>26.878882289650363</v>
      </c>
      <c r="N25" s="4812" t="str">
        <f t="shared" si="8"/>
        <v>***</v>
      </c>
      <c r="P25" s="296" t="s">
        <v>580</v>
      </c>
      <c r="Q25" s="4">
        <v>66.543624018659656</v>
      </c>
      <c r="R25" s="4">
        <v>89.976456619650989</v>
      </c>
      <c r="S25" s="4">
        <v>23.432832600991446</v>
      </c>
      <c r="T25" s="4813" t="str">
        <f t="shared" si="9"/>
        <v>***</v>
      </c>
    </row>
    <row r="26" spans="1:20" x14ac:dyDescent="0.2">
      <c r="A26" s="296" t="s">
        <v>358</v>
      </c>
      <c r="B26" s="4">
        <v>65.267030589663648</v>
      </c>
      <c r="C26" s="4">
        <v>78.1720074682312</v>
      </c>
      <c r="D26" s="4">
        <v>12.904976878567654</v>
      </c>
      <c r="E26" s="4814" t="str">
        <f>IF(       0.002&lt;0.01,"***",IF(       0.002&lt;0.05,"**",IF(       0.002&lt;0.1,"*","NS")))</f>
        <v>***</v>
      </c>
      <c r="G26" s="296" t="s">
        <v>462</v>
      </c>
      <c r="H26" s="4">
        <v>65.267030589663648</v>
      </c>
      <c r="I26" s="4">
        <v>75.28355202049643</v>
      </c>
      <c r="J26" s="4">
        <v>10.016521430832897</v>
      </c>
      <c r="K26" s="4815" t="str">
        <f>IF(       0.014&lt;0.01,"***",IF(       0.014&lt;0.05,"**",IF(       0.014&lt;0.1,"*","NS")))</f>
        <v>**</v>
      </c>
      <c r="L26" s="4">
        <v>91.118481547960641</v>
      </c>
      <c r="M26" s="4">
        <v>25.851450958297285</v>
      </c>
      <c r="N26" s="4816" t="str">
        <f t="shared" si="8"/>
        <v>***</v>
      </c>
      <c r="P26" s="296" t="s">
        <v>581</v>
      </c>
      <c r="Q26" s="4">
        <v>67.954838451107634</v>
      </c>
      <c r="R26" s="4">
        <v>91.118481547960641</v>
      </c>
      <c r="S26" s="4">
        <v>23.163643096853246</v>
      </c>
      <c r="T26" s="4817" t="str">
        <f t="shared" si="9"/>
        <v>***</v>
      </c>
    </row>
    <row r="27" spans="1:20" x14ac:dyDescent="0.2">
      <c r="A27" s="296" t="s">
        <v>359</v>
      </c>
      <c r="B27" s="4">
        <v>45.365553859983272</v>
      </c>
      <c r="C27" s="4">
        <v>73.534249735984289</v>
      </c>
      <c r="D27" s="4">
        <v>28.168695876001035</v>
      </c>
      <c r="E27" s="4818" t="str">
        <f>IF(       0&lt;0.01,"***",IF(       0&lt;0.05,"**",IF(       0&lt;0.1,"*","NS")))</f>
        <v>***</v>
      </c>
      <c r="G27" s="296" t="s">
        <v>463</v>
      </c>
      <c r="H27" s="4">
        <v>45.365553859983272</v>
      </c>
      <c r="I27" s="4">
        <v>70.143460101187486</v>
      </c>
      <c r="J27" s="4">
        <v>24.777906241204423</v>
      </c>
      <c r="K27" s="4819" t="str">
        <f>IF(       0&lt;0.01,"***",IF(       0&lt;0.05,"**",IF(       0&lt;0.1,"*","NS")))</f>
        <v>***</v>
      </c>
      <c r="L27" s="4">
        <v>83.397819666663651</v>
      </c>
      <c r="M27" s="4">
        <v>38.032265806680535</v>
      </c>
      <c r="N27" s="4820" t="str">
        <f t="shared" si="8"/>
        <v>***</v>
      </c>
      <c r="P27" s="296" t="s">
        <v>582</v>
      </c>
      <c r="Q27" s="4">
        <v>52.549917468149289</v>
      </c>
      <c r="R27" s="4">
        <v>83.397819666663651</v>
      </c>
      <c r="S27" s="4">
        <v>30.847902198513989</v>
      </c>
      <c r="T27" s="4821" t="str">
        <f t="shared" si="9"/>
        <v>***</v>
      </c>
    </row>
    <row r="28" spans="1:20" x14ac:dyDescent="0.2">
      <c r="A28" s="296" t="s">
        <v>360</v>
      </c>
      <c r="B28" s="4">
        <v>18.429679251845929</v>
      </c>
      <c r="C28" s="4">
        <v>36.361354411493387</v>
      </c>
      <c r="D28" s="4">
        <v>17.931675159647586</v>
      </c>
      <c r="E28" s="4822" t="str">
        <f>IF(       0&lt;0.01,"***",IF(       0&lt;0.05,"**",IF(       0&lt;0.1,"*","NS")))</f>
        <v>***</v>
      </c>
      <c r="G28" s="296" t="s">
        <v>464</v>
      </c>
      <c r="H28" s="4">
        <v>18.429679251845929</v>
      </c>
      <c r="I28" s="4">
        <v>33.812219618384979</v>
      </c>
      <c r="J28" s="4">
        <v>15.382540366538848</v>
      </c>
      <c r="K28" s="4823" t="str">
        <f>IF(       0&lt;0.01,"***",IF(       0&lt;0.05,"**",IF(       0&lt;0.1,"*","NS")))</f>
        <v>***</v>
      </c>
      <c r="L28" s="4">
        <v>47.520951495803793</v>
      </c>
      <c r="M28" s="4">
        <v>29.091272243957864</v>
      </c>
      <c r="N28" s="4824" t="str">
        <f>IF(       0.001&lt;0.01,"***",IF(       0.001&lt;0.05,"**",IF(       0.001&lt;0.1,"*","NS")))</f>
        <v>***</v>
      </c>
      <c r="P28" s="296" t="s">
        <v>583</v>
      </c>
      <c r="Q28" s="4">
        <v>20.867548819709452</v>
      </c>
      <c r="R28" s="4">
        <v>47.520951495803793</v>
      </c>
      <c r="S28" s="4">
        <v>26.653402676094473</v>
      </c>
      <c r="T28" s="4825" t="str">
        <f>IF(       0.002&lt;0.01,"***",IF(       0.002&lt;0.05,"**",IF(       0.002&lt;0.1,"*","NS")))</f>
        <v>***</v>
      </c>
    </row>
    <row r="29" spans="1:20" x14ac:dyDescent="0.2">
      <c r="A29" s="296" t="s">
        <v>361</v>
      </c>
      <c r="B29" s="4">
        <v>91.800968967454963</v>
      </c>
      <c r="C29" s="4">
        <v>96.469544646087456</v>
      </c>
      <c r="D29" s="4">
        <v>4.6685756786325223</v>
      </c>
      <c r="E29" s="4826" t="str">
        <f>IF(       0.013&lt;0.01,"***",IF(       0.013&lt;0.05,"**",IF(       0.013&lt;0.1,"*","NS")))</f>
        <v>**</v>
      </c>
      <c r="G29" s="296" t="s">
        <v>465</v>
      </c>
      <c r="H29" s="4">
        <v>91.800968967454963</v>
      </c>
      <c r="I29" s="4">
        <v>96.071691236390862</v>
      </c>
      <c r="J29" s="4">
        <v>4.2707222689359083</v>
      </c>
      <c r="K29" s="4827" t="str">
        <f>IF(       0.032&lt;0.01,"***",IF(       0.032&lt;0.05,"**",IF(       0.032&lt;0.1,"*","NS")))</f>
        <v>**</v>
      </c>
      <c r="L29" s="4">
        <v>97.859391262455745</v>
      </c>
      <c r="M29" s="4">
        <v>6.0584222950007813</v>
      </c>
      <c r="N29" s="4828" t="str">
        <f>IF(       0.026&lt;0.01,"***",IF(       0.026&lt;0.05,"**",IF(       0.026&lt;0.1,"*","NS")))</f>
        <v>**</v>
      </c>
      <c r="P29" s="296" t="s">
        <v>584</v>
      </c>
      <c r="Q29" s="4">
        <v>92.681747166253544</v>
      </c>
      <c r="R29" s="4">
        <v>97.859391262455745</v>
      </c>
      <c r="S29" s="4">
        <v>5.1776440962022141</v>
      </c>
      <c r="T29" s="4829" t="str">
        <f>IF(       0.042&lt;0.01,"***",IF(       0.042&lt;0.05,"**",IF(       0.042&lt;0.1,"*","NS")))</f>
        <v>**</v>
      </c>
    </row>
    <row r="30" spans="1:20" x14ac:dyDescent="0.2">
      <c r="A30" s="296" t="s">
        <v>362</v>
      </c>
      <c r="B30" s="4">
        <v>51.227343045945823</v>
      </c>
      <c r="C30" s="4">
        <v>79.473671909844754</v>
      </c>
      <c r="D30" s="4">
        <v>28.246328863899066</v>
      </c>
      <c r="E30" s="4830" t="str">
        <f t="shared" ref="E30:E37" si="10">IF(       0&lt;0.01,"***",IF(       0&lt;0.05,"**",IF(       0&lt;0.1,"*","NS")))</f>
        <v>***</v>
      </c>
      <c r="G30" s="296" t="s">
        <v>466</v>
      </c>
      <c r="H30" s="4">
        <v>51.227343045945823</v>
      </c>
      <c r="I30" s="4">
        <v>77.36433311587993</v>
      </c>
      <c r="J30" s="4">
        <v>26.136990069934193</v>
      </c>
      <c r="K30" s="4831" t="str">
        <f t="shared" ref="K30:K37" si="11">IF(       0&lt;0.01,"***",IF(       0&lt;0.05,"**",IF(       0&lt;0.1,"*","NS")))</f>
        <v>***</v>
      </c>
      <c r="L30" s="4">
        <v>82.610433509867335</v>
      </c>
      <c r="M30" s="4">
        <v>31.383090463921523</v>
      </c>
      <c r="N30" s="4832" t="str">
        <f t="shared" ref="N30:N37" si="12">IF(       0&lt;0.01,"***",IF(       0&lt;0.05,"**",IF(       0&lt;0.1,"*","NS")))</f>
        <v>***</v>
      </c>
      <c r="P30" s="296" t="s">
        <v>585</v>
      </c>
      <c r="Q30" s="4">
        <v>61.094215018294463</v>
      </c>
      <c r="R30" s="4">
        <v>82.610433509867335</v>
      </c>
      <c r="S30" s="4">
        <v>21.516218491572769</v>
      </c>
      <c r="T30" s="4833" t="str">
        <f t="shared" ref="T30:T37" si="13">IF(       0&lt;0.01,"***",IF(       0&lt;0.05,"**",IF(       0&lt;0.1,"*","NS")))</f>
        <v>***</v>
      </c>
    </row>
    <row r="31" spans="1:20" x14ac:dyDescent="0.2">
      <c r="A31" s="296" t="s">
        <v>363</v>
      </c>
      <c r="B31" s="4">
        <v>72.401851466038238</v>
      </c>
      <c r="C31" s="4">
        <v>82.751881121999219</v>
      </c>
      <c r="D31" s="4">
        <v>10.350029655960977</v>
      </c>
      <c r="E31" s="4834" t="str">
        <f t="shared" si="10"/>
        <v>***</v>
      </c>
      <c r="G31" s="296" t="s">
        <v>467</v>
      </c>
      <c r="H31" s="4">
        <v>72.401851466038238</v>
      </c>
      <c r="I31" s="4">
        <v>80.839737248433423</v>
      </c>
      <c r="J31" s="4">
        <v>8.437885782395206</v>
      </c>
      <c r="K31" s="4835" t="str">
        <f t="shared" si="11"/>
        <v>***</v>
      </c>
      <c r="L31" s="4">
        <v>88.998771985993741</v>
      </c>
      <c r="M31" s="4">
        <v>16.596920519955532</v>
      </c>
      <c r="N31" s="4836" t="str">
        <f t="shared" si="12"/>
        <v>***</v>
      </c>
      <c r="P31" s="296" t="s">
        <v>586</v>
      </c>
      <c r="Q31" s="4">
        <v>75.833821928796752</v>
      </c>
      <c r="R31" s="4">
        <v>88.998771985993741</v>
      </c>
      <c r="S31" s="4">
        <v>13.16495005719713</v>
      </c>
      <c r="T31" s="4837" t="str">
        <f t="shared" si="13"/>
        <v>***</v>
      </c>
    </row>
    <row r="32" spans="1:20" x14ac:dyDescent="0.2">
      <c r="A32" s="296" t="s">
        <v>364</v>
      </c>
      <c r="B32" s="4">
        <v>42.046589866937119</v>
      </c>
      <c r="C32" s="4">
        <v>73.946040121481545</v>
      </c>
      <c r="D32" s="4">
        <v>31.899450254544796</v>
      </c>
      <c r="E32" s="4838" t="str">
        <f t="shared" si="10"/>
        <v>***</v>
      </c>
      <c r="G32" s="296" t="s">
        <v>468</v>
      </c>
      <c r="H32" s="4">
        <v>42.046589866937119</v>
      </c>
      <c r="I32" s="4">
        <v>71.758295533273923</v>
      </c>
      <c r="J32" s="4">
        <v>29.711705666336908</v>
      </c>
      <c r="K32" s="4839" t="str">
        <f t="shared" si="11"/>
        <v>***</v>
      </c>
      <c r="L32" s="4">
        <v>79.75178467930138</v>
      </c>
      <c r="M32" s="4">
        <v>37.705194812364311</v>
      </c>
      <c r="N32" s="4840" t="str">
        <f t="shared" si="12"/>
        <v>***</v>
      </c>
      <c r="P32" s="296" t="s">
        <v>587</v>
      </c>
      <c r="Q32" s="4">
        <v>49.877553936376003</v>
      </c>
      <c r="R32" s="4">
        <v>79.75178467930138</v>
      </c>
      <c r="S32" s="4">
        <v>29.87423074292564</v>
      </c>
      <c r="T32" s="4841" t="str">
        <f t="shared" si="13"/>
        <v>***</v>
      </c>
    </row>
    <row r="33" spans="1:20" x14ac:dyDescent="0.2">
      <c r="A33" s="296" t="s">
        <v>365</v>
      </c>
      <c r="B33" s="4">
        <v>27.85629308710001</v>
      </c>
      <c r="C33" s="4">
        <v>62.496535650274772</v>
      </c>
      <c r="D33" s="4">
        <v>34.640242563174269</v>
      </c>
      <c r="E33" s="4842" t="str">
        <f t="shared" si="10"/>
        <v>***</v>
      </c>
      <c r="G33" s="296" t="s">
        <v>469</v>
      </c>
      <c r="H33" s="4">
        <v>27.85629308710001</v>
      </c>
      <c r="I33" s="4">
        <v>56.383493334409017</v>
      </c>
      <c r="J33" s="4">
        <v>28.527200247309136</v>
      </c>
      <c r="K33" s="4843" t="str">
        <f t="shared" si="11"/>
        <v>***</v>
      </c>
      <c r="L33" s="4">
        <v>79.83081619570838</v>
      </c>
      <c r="M33" s="4">
        <v>51.974523108607862</v>
      </c>
      <c r="N33" s="4844" t="str">
        <f t="shared" si="12"/>
        <v>***</v>
      </c>
      <c r="P33" s="296" t="s">
        <v>588</v>
      </c>
      <c r="Q33" s="4">
        <v>34.597778878351313</v>
      </c>
      <c r="R33" s="4">
        <v>79.83081619570838</v>
      </c>
      <c r="S33" s="4">
        <v>45.233037317356732</v>
      </c>
      <c r="T33" s="4845" t="str">
        <f t="shared" si="13"/>
        <v>***</v>
      </c>
    </row>
    <row r="34" spans="1:20" x14ac:dyDescent="0.2">
      <c r="A34" s="296" t="s">
        <v>366</v>
      </c>
      <c r="B34" s="4">
        <v>62.485098604523571</v>
      </c>
      <c r="C34" s="4">
        <v>80.558359864713438</v>
      </c>
      <c r="D34" s="4">
        <v>18.073261260189675</v>
      </c>
      <c r="E34" s="4846" t="str">
        <f t="shared" si="10"/>
        <v>***</v>
      </c>
      <c r="G34" s="296" t="s">
        <v>470</v>
      </c>
      <c r="H34" s="4">
        <v>62.485098604523571</v>
      </c>
      <c r="I34" s="4">
        <v>77.484213348340987</v>
      </c>
      <c r="J34" s="4">
        <v>14.999114743817316</v>
      </c>
      <c r="K34" s="4847" t="str">
        <f t="shared" si="11"/>
        <v>***</v>
      </c>
      <c r="L34" s="4">
        <v>90.79762808370198</v>
      </c>
      <c r="M34" s="4">
        <v>28.312529479178433</v>
      </c>
      <c r="N34" s="4848" t="str">
        <f t="shared" si="12"/>
        <v>***</v>
      </c>
      <c r="P34" s="296" t="s">
        <v>589</v>
      </c>
      <c r="Q34" s="4">
        <v>66.218502621283406</v>
      </c>
      <c r="R34" s="4">
        <v>90.79762808370198</v>
      </c>
      <c r="S34" s="4">
        <v>24.579125462418325</v>
      </c>
      <c r="T34" s="4849" t="str">
        <f t="shared" si="13"/>
        <v>***</v>
      </c>
    </row>
    <row r="35" spans="1:20" x14ac:dyDescent="0.2">
      <c r="A35" s="296" t="s">
        <v>367</v>
      </c>
      <c r="B35" s="4">
        <v>56.815719467790672</v>
      </c>
      <c r="C35" s="4">
        <v>77.864456419508741</v>
      </c>
      <c r="D35" s="4">
        <v>21.048736951718091</v>
      </c>
      <c r="E35" s="4850" t="str">
        <f t="shared" si="10"/>
        <v>***</v>
      </c>
      <c r="G35" s="296" t="s">
        <v>471</v>
      </c>
      <c r="H35" s="4">
        <v>56.815719467790672</v>
      </c>
      <c r="I35" s="4">
        <v>73.958732160423892</v>
      </c>
      <c r="J35" s="4">
        <v>17.143012692633189</v>
      </c>
      <c r="K35" s="4851" t="str">
        <f t="shared" si="11"/>
        <v>***</v>
      </c>
      <c r="L35" s="4">
        <v>85.760095487834093</v>
      </c>
      <c r="M35" s="4">
        <v>28.944376020043386</v>
      </c>
      <c r="N35" s="4852" t="str">
        <f t="shared" si="12"/>
        <v>***</v>
      </c>
      <c r="P35" s="296" t="s">
        <v>590</v>
      </c>
      <c r="Q35" s="4">
        <v>62.588553321184037</v>
      </c>
      <c r="R35" s="4">
        <v>85.760095487834093</v>
      </c>
      <c r="S35" s="4">
        <v>23.171542166650134</v>
      </c>
      <c r="T35" s="4853" t="str">
        <f t="shared" si="13"/>
        <v>***</v>
      </c>
    </row>
    <row r="36" spans="1:20" x14ac:dyDescent="0.2">
      <c r="A36" s="296" t="s">
        <v>368</v>
      </c>
      <c r="B36" s="4">
        <v>74.853433984880624</v>
      </c>
      <c r="C36" s="4">
        <v>88.329879512816831</v>
      </c>
      <c r="D36" s="4">
        <v>13.476445527936068</v>
      </c>
      <c r="E36" s="4854" t="str">
        <f t="shared" si="10"/>
        <v>***</v>
      </c>
      <c r="G36" s="296" t="s">
        <v>472</v>
      </c>
      <c r="H36" s="4">
        <v>74.853433984880624</v>
      </c>
      <c r="I36" s="4">
        <v>86.481825595583231</v>
      </c>
      <c r="J36" s="4">
        <v>11.628391610702721</v>
      </c>
      <c r="K36" s="4855" t="str">
        <f t="shared" si="11"/>
        <v>***</v>
      </c>
      <c r="L36" s="4">
        <v>94.936964724231302</v>
      </c>
      <c r="M36" s="4">
        <v>20.083530739350806</v>
      </c>
      <c r="N36" s="4856" t="str">
        <f t="shared" si="12"/>
        <v>***</v>
      </c>
      <c r="P36" s="296" t="s">
        <v>591</v>
      </c>
      <c r="Q36" s="4">
        <v>78.038279912568981</v>
      </c>
      <c r="R36" s="4">
        <v>94.936964724231302</v>
      </c>
      <c r="S36" s="4">
        <v>16.898684811662246</v>
      </c>
      <c r="T36" s="4857" t="str">
        <f t="shared" si="13"/>
        <v>***</v>
      </c>
    </row>
    <row r="37" spans="1:20" x14ac:dyDescent="0.2">
      <c r="A37" s="296" t="s">
        <v>5835</v>
      </c>
      <c r="B37" s="4">
        <v>51.424835021764991</v>
      </c>
      <c r="C37" s="4">
        <v>76.054284777827689</v>
      </c>
      <c r="D37" s="4">
        <v>24.629449756062936</v>
      </c>
      <c r="E37" s="4858" t="str">
        <f t="shared" si="10"/>
        <v>***</v>
      </c>
      <c r="G37" s="296" t="s">
        <v>5835</v>
      </c>
      <c r="H37" s="4">
        <v>51.424835021764991</v>
      </c>
      <c r="I37" s="4">
        <v>72.788723601427407</v>
      </c>
      <c r="J37" s="4">
        <v>21.363888579662799</v>
      </c>
      <c r="K37" s="4859" t="str">
        <f t="shared" si="11"/>
        <v>***</v>
      </c>
      <c r="L37" s="4">
        <v>85.269628788394783</v>
      </c>
      <c r="M37" s="4">
        <v>33.844793766629536</v>
      </c>
      <c r="N37" s="4860" t="str">
        <f t="shared" si="12"/>
        <v>***</v>
      </c>
      <c r="P37" s="296" t="s">
        <v>5835</v>
      </c>
      <c r="Q37" s="4">
        <v>57.510383972510589</v>
      </c>
      <c r="R37" s="4">
        <v>85.269628788394783</v>
      </c>
      <c r="S37" s="4">
        <v>27.759244815883573</v>
      </c>
      <c r="T37" s="4861" t="str">
        <f t="shared" si="13"/>
        <v>***</v>
      </c>
    </row>
    <row r="39" spans="1:20" x14ac:dyDescent="0.2">
      <c r="A39" s="296" t="s">
        <v>369</v>
      </c>
      <c r="G39" s="296" t="s">
        <v>473</v>
      </c>
      <c r="P39" s="296" t="s">
        <v>592</v>
      </c>
    </row>
    <row r="40" spans="1:20" s="3" customFormat="1" x14ac:dyDescent="0.2">
      <c r="A40" s="6540" t="s">
        <v>370</v>
      </c>
      <c r="B40" s="6541" t="s">
        <v>371</v>
      </c>
      <c r="C40" s="6542" t="s">
        <v>372</v>
      </c>
      <c r="D40" s="6543" t="s">
        <v>373</v>
      </c>
      <c r="E40" s="6544" t="s">
        <v>374</v>
      </c>
      <c r="G40" s="6545" t="s">
        <v>474</v>
      </c>
      <c r="H40" s="6546" t="s">
        <v>475</v>
      </c>
      <c r="I40" s="6547" t="s">
        <v>476</v>
      </c>
      <c r="J40" s="6548" t="s">
        <v>477</v>
      </c>
      <c r="K40" s="6549" t="s">
        <v>478</v>
      </c>
      <c r="L40" s="6550" t="s">
        <v>541</v>
      </c>
      <c r="M40" s="6551" t="s">
        <v>542</v>
      </c>
      <c r="N40" s="6552" t="s">
        <v>543</v>
      </c>
      <c r="P40" s="6553" t="s">
        <v>593</v>
      </c>
      <c r="Q40" s="6554" t="s">
        <v>594</v>
      </c>
      <c r="R40" s="6555" t="s">
        <v>595</v>
      </c>
      <c r="S40" s="6556" t="s">
        <v>596</v>
      </c>
      <c r="T40" s="6557" t="s">
        <v>597</v>
      </c>
    </row>
    <row r="41" spans="1:20" x14ac:dyDescent="0.2">
      <c r="A41" s="296" t="s">
        <v>375</v>
      </c>
      <c r="B41" s="4">
        <v>39.026794244006048</v>
      </c>
      <c r="C41" s="4">
        <v>53.62978665133285</v>
      </c>
      <c r="D41" s="4">
        <v>14.602992407326772</v>
      </c>
      <c r="E41" s="4862" t="str">
        <f>IF(       0&lt;0.01,"***",IF(       0&lt;0.05,"**",IF(       0&lt;0.1,"*","NS")))</f>
        <v>***</v>
      </c>
      <c r="G41" s="296" t="s">
        <v>479</v>
      </c>
      <c r="H41" s="4">
        <v>39.026794244006048</v>
      </c>
      <c r="I41" s="4">
        <v>49.906268608119461</v>
      </c>
      <c r="J41" s="4">
        <v>10.879474364113342</v>
      </c>
      <c r="K41" s="4863" t="str">
        <f>IF(       0.001&lt;0.01,"***",IF(       0.001&lt;0.05,"**",IF(       0.001&lt;0.1,"*","NS")))</f>
        <v>***</v>
      </c>
      <c r="L41" s="4">
        <v>71.00078909838777</v>
      </c>
      <c r="M41" s="4">
        <v>31.973994854381861</v>
      </c>
      <c r="N41" s="4864" t="str">
        <f>IF(       0&lt;0.01,"***",IF(       0&lt;0.05,"**",IF(       0&lt;0.1,"*","NS")))</f>
        <v>***</v>
      </c>
      <c r="P41" s="296" t="s">
        <v>598</v>
      </c>
      <c r="Q41" s="4">
        <v>42.708805229601573</v>
      </c>
      <c r="R41" s="4">
        <v>71.00078909838777</v>
      </c>
      <c r="S41" s="4">
        <v>28.291983868786176</v>
      </c>
      <c r="T41" s="4865" t="str">
        <f>IF(       0&lt;0.01,"***",IF(       0&lt;0.05,"**",IF(       0&lt;0.1,"*","NS")))</f>
        <v>***</v>
      </c>
    </row>
    <row r="42" spans="1:20" x14ac:dyDescent="0.2">
      <c r="A42" s="296" t="s">
        <v>376</v>
      </c>
      <c r="B42" s="4">
        <v>47.519676101785372</v>
      </c>
      <c r="C42" s="4">
        <v>67.874169459263129</v>
      </c>
      <c r="D42" s="4">
        <v>20.354493357477875</v>
      </c>
      <c r="E42" s="4866" t="str">
        <f>IF(       0&lt;0.01,"***",IF(       0&lt;0.05,"**",IF(       0&lt;0.1,"*","NS")))</f>
        <v>***</v>
      </c>
      <c r="G42" s="296" t="s">
        <v>480</v>
      </c>
      <c r="H42" s="4">
        <v>47.519676101785372</v>
      </c>
      <c r="I42" s="4">
        <v>64.763894161338328</v>
      </c>
      <c r="J42" s="4">
        <v>17.244218059552946</v>
      </c>
      <c r="K42" s="4867" t="str">
        <f>IF(       0&lt;0.01,"***",IF(       0&lt;0.05,"**",IF(       0&lt;0.1,"*","NS")))</f>
        <v>***</v>
      </c>
      <c r="L42" s="4">
        <v>76.297210065755337</v>
      </c>
      <c r="M42" s="4">
        <v>28.77753396396994</v>
      </c>
      <c r="N42" s="4868" t="str">
        <f>IF(       0&lt;0.01,"***",IF(       0&lt;0.05,"**",IF(       0&lt;0.1,"*","NS")))</f>
        <v>***</v>
      </c>
      <c r="P42" s="296" t="s">
        <v>599</v>
      </c>
      <c r="Q42" s="4">
        <v>51.683663162052191</v>
      </c>
      <c r="R42" s="4">
        <v>76.297210065755337</v>
      </c>
      <c r="S42" s="4">
        <v>24.613546903703064</v>
      </c>
      <c r="T42" s="4869" t="str">
        <f>IF(       0&lt;0.01,"***",IF(       0&lt;0.05,"**",IF(       0&lt;0.1,"*","NS")))</f>
        <v>***</v>
      </c>
    </row>
    <row r="43" spans="1:20" x14ac:dyDescent="0.2">
      <c r="A43" s="296" t="s">
        <v>377</v>
      </c>
      <c r="B43" s="4">
        <v>49.787101223843443</v>
      </c>
      <c r="C43" s="4">
        <v>61.382250048600511</v>
      </c>
      <c r="D43" s="4">
        <v>11.595148824757119</v>
      </c>
      <c r="E43" s="4870" t="str">
        <f>IF(       0.002&lt;0.01,"***",IF(       0.002&lt;0.05,"**",IF(       0.002&lt;0.1,"*","NS")))</f>
        <v>***</v>
      </c>
      <c r="G43" s="296" t="s">
        <v>481</v>
      </c>
      <c r="H43" s="4">
        <v>49.787101223843443</v>
      </c>
      <c r="I43" s="4">
        <v>60.195444735830883</v>
      </c>
      <c r="J43" s="4">
        <v>10.408343511987429</v>
      </c>
      <c r="K43" s="4871" t="str">
        <f>IF(       0.014&lt;0.01,"***",IF(       0.014&lt;0.05,"**",IF(       0.014&lt;0.1,"*","NS")))</f>
        <v>**</v>
      </c>
      <c r="L43" s="4">
        <v>65.464336985577233</v>
      </c>
      <c r="M43" s="4">
        <v>15.67723576173371</v>
      </c>
      <c r="N43" s="4872" t="str">
        <f>IF(       0.03&lt;0.01,"***",IF(       0.03&lt;0.05,"**",IF(       0.03&lt;0.1,"*","NS")))</f>
        <v>**</v>
      </c>
      <c r="P43" s="296" t="s">
        <v>600</v>
      </c>
      <c r="Q43" s="4">
        <v>52.241419740543343</v>
      </c>
      <c r="R43" s="4">
        <v>65.464336985577233</v>
      </c>
      <c r="S43" s="4">
        <v>13.222917245033932</v>
      </c>
      <c r="T43" s="4873" t="str">
        <f>IF(       0.069&lt;0.01,"***",IF(       0.069&lt;0.05,"**",IF(       0.069&lt;0.1,"*","NS")))</f>
        <v>*</v>
      </c>
    </row>
    <row r="44" spans="1:20" x14ac:dyDescent="0.2">
      <c r="A44" s="296" t="s">
        <v>378</v>
      </c>
      <c r="B44" s="4">
        <v>51.597629993178771</v>
      </c>
      <c r="C44" s="4">
        <v>61.137322363682941</v>
      </c>
      <c r="D44" s="4">
        <v>9.5396923705040635</v>
      </c>
      <c r="E44" s="4874" t="str">
        <f>IF(       0.001&lt;0.01,"***",IF(       0.001&lt;0.05,"**",IF(       0.001&lt;0.1,"*","NS")))</f>
        <v>***</v>
      </c>
      <c r="G44" s="296" t="s">
        <v>482</v>
      </c>
      <c r="H44" s="4">
        <v>51.597629993178771</v>
      </c>
      <c r="I44" s="4">
        <v>59.284503098285647</v>
      </c>
      <c r="J44" s="4">
        <v>7.6868731051068728</v>
      </c>
      <c r="K44" s="4875" t="str">
        <f>IF(       0.022&lt;0.01,"***",IF(       0.022&lt;0.05,"**",IF(       0.022&lt;0.1,"*","NS")))</f>
        <v>**</v>
      </c>
      <c r="L44" s="4">
        <v>68.857715080594019</v>
      </c>
      <c r="M44" s="4">
        <v>17.260085087415113</v>
      </c>
      <c r="N44" s="4876" t="str">
        <f>IF(       0.002&lt;0.01,"***",IF(       0.002&lt;0.05,"**",IF(       0.002&lt;0.1,"*","NS")))</f>
        <v>***</v>
      </c>
      <c r="P44" s="296" t="s">
        <v>601</v>
      </c>
      <c r="Q44" s="4">
        <v>53.739149508589122</v>
      </c>
      <c r="R44" s="4">
        <v>68.857715080594019</v>
      </c>
      <c r="S44" s="4">
        <v>15.118565572004824</v>
      </c>
      <c r="T44" s="4877" t="str">
        <f>IF(       0.008&lt;0.01,"***",IF(       0.008&lt;0.05,"**",IF(       0.008&lt;0.1,"*","NS")))</f>
        <v>***</v>
      </c>
    </row>
    <row r="45" spans="1:20" x14ac:dyDescent="0.2">
      <c r="A45" s="296" t="s">
        <v>379</v>
      </c>
      <c r="B45" s="4">
        <v>57.0133696353574</v>
      </c>
      <c r="C45" s="4">
        <v>72.327212246508907</v>
      </c>
      <c r="D45" s="4">
        <v>15.313842611151541</v>
      </c>
      <c r="E45" s="4878" t="str">
        <f>IF(       0&lt;0.01,"***",IF(       0&lt;0.05,"**",IF(       0&lt;0.1,"*","NS")))</f>
        <v>***</v>
      </c>
      <c r="G45" s="296" t="s">
        <v>483</v>
      </c>
      <c r="H45" s="4">
        <v>57.0133696353574</v>
      </c>
      <c r="I45" s="4">
        <v>70.868944451973306</v>
      </c>
      <c r="J45" s="4">
        <v>13.855574816615897</v>
      </c>
      <c r="K45" s="4879" t="str">
        <f>IF(       0&lt;0.01,"***",IF(       0&lt;0.05,"**",IF(       0&lt;0.1,"*","NS")))</f>
        <v>***</v>
      </c>
      <c r="L45" s="4">
        <v>79.930172156175061</v>
      </c>
      <c r="M45" s="4">
        <v>22.916802520817527</v>
      </c>
      <c r="N45" s="4880" t="str">
        <f>IF(       0&lt;0.01,"***",IF(       0&lt;0.05,"**",IF(       0&lt;0.1,"*","NS")))</f>
        <v>***</v>
      </c>
      <c r="P45" s="296" t="s">
        <v>602</v>
      </c>
      <c r="Q45" s="4">
        <v>60.644202021793127</v>
      </c>
      <c r="R45" s="4">
        <v>79.930172156175061</v>
      </c>
      <c r="S45" s="4">
        <v>19.285970134381778</v>
      </c>
      <c r="T45" s="4881" t="str">
        <f>IF(       0.001&lt;0.01,"***",IF(       0.001&lt;0.05,"**",IF(       0.001&lt;0.1,"*","NS")))</f>
        <v>***</v>
      </c>
    </row>
    <row r="46" spans="1:20" x14ac:dyDescent="0.2">
      <c r="A46" s="296" t="s">
        <v>380</v>
      </c>
      <c r="B46" s="4">
        <v>41.509282485389917</v>
      </c>
      <c r="C46" s="4">
        <v>54.912911529911632</v>
      </c>
      <c r="D46" s="4">
        <v>13.403629044521601</v>
      </c>
      <c r="E46" s="4882" t="str">
        <f>IF(       0&lt;0.01,"***",IF(       0&lt;0.05,"**",IF(       0&lt;0.1,"*","NS")))</f>
        <v>***</v>
      </c>
      <c r="G46" s="296" t="s">
        <v>484</v>
      </c>
      <c r="H46" s="4">
        <v>41.509282485389917</v>
      </c>
      <c r="I46" s="4">
        <v>51.882073071391623</v>
      </c>
      <c r="J46" s="4">
        <v>10.37279058600167</v>
      </c>
      <c r="K46" s="4883" t="str">
        <f>IF(       0.005&lt;0.01,"***",IF(       0.005&lt;0.05,"**",IF(       0.005&lt;0.1,"*","NS")))</f>
        <v>***</v>
      </c>
      <c r="L46" s="4">
        <v>65.440970503431288</v>
      </c>
      <c r="M46" s="4">
        <v>23.931688018041346</v>
      </c>
      <c r="N46" s="4884" t="str">
        <f>IF(       0&lt;0.01,"***",IF(       0&lt;0.05,"**",IF(       0&lt;0.1,"*","NS")))</f>
        <v>***</v>
      </c>
      <c r="P46" s="296" t="s">
        <v>603</v>
      </c>
      <c r="Q46" s="4">
        <v>44.329710335726958</v>
      </c>
      <c r="R46" s="4">
        <v>65.440970503431288</v>
      </c>
      <c r="S46" s="4">
        <v>21.111260167704533</v>
      </c>
      <c r="T46" s="4885" t="str">
        <f>IF(       0&lt;0.01,"***",IF(       0&lt;0.05,"**",IF(       0&lt;0.1,"*","NS")))</f>
        <v>***</v>
      </c>
    </row>
    <row r="47" spans="1:20" x14ac:dyDescent="0.2">
      <c r="A47" s="296" t="s">
        <v>381</v>
      </c>
      <c r="B47" s="4" t="s">
        <v>6067</v>
      </c>
      <c r="C47" s="4" t="s">
        <v>6067</v>
      </c>
      <c r="D47" s="4" t="s">
        <v>6067</v>
      </c>
      <c r="E47" s="4" t="s">
        <v>6067</v>
      </c>
      <c r="G47" s="296" t="s">
        <v>485</v>
      </c>
      <c r="H47" s="4" t="s">
        <v>6067</v>
      </c>
      <c r="I47" s="4" t="s">
        <v>6067</v>
      </c>
      <c r="J47" s="4" t="s">
        <v>6067</v>
      </c>
      <c r="K47" s="4" t="s">
        <v>6067</v>
      </c>
      <c r="L47" s="4" t="s">
        <v>6067</v>
      </c>
      <c r="M47" s="4" t="s">
        <v>6067</v>
      </c>
      <c r="N47" s="4" t="s">
        <v>6067</v>
      </c>
      <c r="P47" s="296" t="s">
        <v>604</v>
      </c>
      <c r="Q47" s="4" t="s">
        <v>6067</v>
      </c>
      <c r="R47" s="4" t="s">
        <v>6067</v>
      </c>
      <c r="S47" s="4" t="s">
        <v>6067</v>
      </c>
      <c r="T47" s="4" t="s">
        <v>6067</v>
      </c>
    </row>
    <row r="48" spans="1:20" x14ac:dyDescent="0.2">
      <c r="A48" s="296" t="s">
        <v>382</v>
      </c>
      <c r="B48" s="4">
        <v>78.630441541334818</v>
      </c>
      <c r="C48" s="4">
        <v>82.073333784459933</v>
      </c>
      <c r="D48" s="4">
        <v>3.4428922431251046</v>
      </c>
      <c r="E48" s="4886" t="str">
        <f>IF(       0.36&lt;0.01,"***",IF(       0.36&lt;0.05,"**",IF(       0.36&lt;0.1,"*","NS")))</f>
        <v>NS</v>
      </c>
      <c r="G48" s="296" t="s">
        <v>486</v>
      </c>
      <c r="H48" s="4">
        <v>78.630441541334818</v>
      </c>
      <c r="I48" s="4">
        <v>80.73251897316996</v>
      </c>
      <c r="J48" s="4">
        <v>2.1020774318351596</v>
      </c>
      <c r="K48" s="4887" t="str">
        <f>IF(       0.688&lt;0.01,"***",IF(       0.688&lt;0.05,"**",IF(       0.688&lt;0.1,"*","NS")))</f>
        <v>NS</v>
      </c>
      <c r="L48" s="4">
        <v>86.061431052476124</v>
      </c>
      <c r="M48" s="4">
        <v>7.4309895111413047</v>
      </c>
      <c r="N48" s="4888" t="str">
        <f>IF(       0.159&lt;0.01,"***",IF(       0.159&lt;0.05,"**",IF(       0.159&lt;0.1,"*","NS")))</f>
        <v>NS</v>
      </c>
      <c r="P48" s="296" t="s">
        <v>605</v>
      </c>
      <c r="Q48" s="4">
        <v>78.966488907716155</v>
      </c>
      <c r="R48" s="4">
        <v>86.061431052476124</v>
      </c>
      <c r="S48" s="4">
        <v>7.0949421447599903</v>
      </c>
      <c r="T48" s="4889" t="str">
        <f>IF(       0.205&lt;0.01,"***",IF(       0.205&lt;0.05,"**",IF(       0.205&lt;0.1,"*","NS")))</f>
        <v>NS</v>
      </c>
    </row>
    <row r="49" spans="1:20" x14ac:dyDescent="0.2">
      <c r="A49" s="296" t="s">
        <v>383</v>
      </c>
      <c r="B49" s="4">
        <v>43.984654235147758</v>
      </c>
      <c r="C49" s="4">
        <v>55.714318630958459</v>
      </c>
      <c r="D49" s="4">
        <v>11.729664395810808</v>
      </c>
      <c r="E49" s="4890" t="str">
        <f>IF(       0&lt;0.01,"***",IF(       0&lt;0.05,"**",IF(       0&lt;0.1,"*","NS")))</f>
        <v>***</v>
      </c>
      <c r="G49" s="296" t="s">
        <v>487</v>
      </c>
      <c r="H49" s="4">
        <v>43.984654235147758</v>
      </c>
      <c r="I49" s="4">
        <v>47.396429326701757</v>
      </c>
      <c r="J49" s="4">
        <v>3.4117750915540124</v>
      </c>
      <c r="K49" s="4891" t="str">
        <f>IF(       0.418&lt;0.01,"***",IF(       0.418&lt;0.05,"**",IF(       0.418&lt;0.1,"*","NS")))</f>
        <v>NS</v>
      </c>
      <c r="L49" s="4">
        <v>70.745661464193148</v>
      </c>
      <c r="M49" s="4">
        <v>26.761007229045212</v>
      </c>
      <c r="N49" s="4892" t="str">
        <f>IF(       0&lt;0.01,"***",IF(       0&lt;0.05,"**",IF(       0&lt;0.1,"*","NS")))</f>
        <v>***</v>
      </c>
      <c r="P49" s="296" t="s">
        <v>606</v>
      </c>
      <c r="Q49" s="4">
        <v>44.989875395115106</v>
      </c>
      <c r="R49" s="4">
        <v>70.745661464193148</v>
      </c>
      <c r="S49" s="4">
        <v>25.75578606907818</v>
      </c>
      <c r="T49" s="4893" t="str">
        <f>IF(       0&lt;0.01,"***",IF(       0&lt;0.05,"**",IF(       0&lt;0.1,"*","NS")))</f>
        <v>***</v>
      </c>
    </row>
    <row r="50" spans="1:20" x14ac:dyDescent="0.2">
      <c r="A50" s="296" t="s">
        <v>384</v>
      </c>
      <c r="B50" s="4">
        <v>51.790401563077111</v>
      </c>
      <c r="C50" s="4">
        <v>59.101504235593659</v>
      </c>
      <c r="D50" s="4">
        <v>7.3111026725165518</v>
      </c>
      <c r="E50" s="4894" t="str">
        <f>IF(       0.005&lt;0.01,"***",IF(       0.005&lt;0.05,"**",IF(       0.005&lt;0.1,"*","NS")))</f>
        <v>***</v>
      </c>
      <c r="G50" s="296" t="s">
        <v>488</v>
      </c>
      <c r="H50" s="4">
        <v>51.790401563077111</v>
      </c>
      <c r="I50" s="4">
        <v>56.334065244146771</v>
      </c>
      <c r="J50" s="4">
        <v>4.5436636810696367</v>
      </c>
      <c r="K50" s="4895" t="str">
        <f>IF(       0.092&lt;0.01,"***",IF(       0.092&lt;0.05,"**",IF(       0.092&lt;0.1,"*","NS")))</f>
        <v>*</v>
      </c>
      <c r="L50" s="4">
        <v>68.11586181726328</v>
      </c>
      <c r="M50" s="4">
        <v>16.32546025418613</v>
      </c>
      <c r="N50" s="4896" t="str">
        <f>IF(       0.001&lt;0.01,"***",IF(       0.001&lt;0.05,"**",IF(       0.001&lt;0.1,"*","NS")))</f>
        <v>***</v>
      </c>
      <c r="P50" s="296" t="s">
        <v>607</v>
      </c>
      <c r="Q50" s="4">
        <v>53.450153159036063</v>
      </c>
      <c r="R50" s="4">
        <v>68.11586181726328</v>
      </c>
      <c r="S50" s="4">
        <v>14.665708658227087</v>
      </c>
      <c r="T50" s="4897" t="str">
        <f>IF(       0.004&lt;0.01,"***",IF(       0.004&lt;0.05,"**",IF(       0.004&lt;0.1,"*","NS")))</f>
        <v>***</v>
      </c>
    </row>
    <row r="51" spans="1:20" x14ac:dyDescent="0.2">
      <c r="A51" s="296" t="s">
        <v>385</v>
      </c>
      <c r="B51" s="4">
        <v>38.34339859101275</v>
      </c>
      <c r="C51" s="4">
        <v>57.523034345364977</v>
      </c>
      <c r="D51" s="4">
        <v>19.179635754352102</v>
      </c>
      <c r="E51" s="4898" t="str">
        <f>IF(       0&lt;0.01,"***",IF(       0&lt;0.05,"**",IF(       0&lt;0.1,"*","NS")))</f>
        <v>***</v>
      </c>
      <c r="G51" s="296" t="s">
        <v>489</v>
      </c>
      <c r="H51" s="4">
        <v>38.34339859101275</v>
      </c>
      <c r="I51" s="4">
        <v>54.293058231696229</v>
      </c>
      <c r="J51" s="4">
        <v>15.94965964068361</v>
      </c>
      <c r="K51" s="4899" t="str">
        <f>IF(       0&lt;0.01,"***",IF(       0&lt;0.05,"**",IF(       0&lt;0.1,"*","NS")))</f>
        <v>***</v>
      </c>
      <c r="L51" s="4">
        <v>67.191725162909663</v>
      </c>
      <c r="M51" s="4">
        <v>28.848326571897072</v>
      </c>
      <c r="N51" s="4900" t="str">
        <f>IF(       0&lt;0.01,"***",IF(       0&lt;0.05,"**",IF(       0&lt;0.1,"*","NS")))</f>
        <v>***</v>
      </c>
      <c r="P51" s="296" t="s">
        <v>608</v>
      </c>
      <c r="Q51" s="4">
        <v>41.784078917522962</v>
      </c>
      <c r="R51" s="4">
        <v>67.191725162909663</v>
      </c>
      <c r="S51" s="4">
        <v>25.407646245386715</v>
      </c>
      <c r="T51" s="4901" t="str">
        <f>IF(       0&lt;0.01,"***",IF(       0&lt;0.05,"**",IF(       0&lt;0.1,"*","NS")))</f>
        <v>***</v>
      </c>
    </row>
    <row r="52" spans="1:20" x14ac:dyDescent="0.2">
      <c r="A52" s="296" t="s">
        <v>386</v>
      </c>
      <c r="B52" s="4">
        <v>28.965730761635921</v>
      </c>
      <c r="C52" s="4">
        <v>50.18981154468085</v>
      </c>
      <c r="D52" s="4">
        <v>21.224080783044673</v>
      </c>
      <c r="E52" s="4902" t="str">
        <f>IF(       0&lt;0.01,"***",IF(       0&lt;0.05,"**",IF(       0&lt;0.1,"*","NS")))</f>
        <v>***</v>
      </c>
      <c r="G52" s="296" t="s">
        <v>490</v>
      </c>
      <c r="H52" s="4">
        <v>28.965730761635921</v>
      </c>
      <c r="I52" s="4">
        <v>43.933766791748198</v>
      </c>
      <c r="J52" s="4">
        <v>14.968036030112296</v>
      </c>
      <c r="K52" s="4903" t="str">
        <f>IF(       0&lt;0.01,"***",IF(       0&lt;0.05,"**",IF(       0&lt;0.1,"*","NS")))</f>
        <v>***</v>
      </c>
      <c r="L52" s="4">
        <v>70.144452503511644</v>
      </c>
      <c r="M52" s="4">
        <v>41.178721741875037</v>
      </c>
      <c r="N52" s="4904" t="str">
        <f>IF(       0&lt;0.01,"***",IF(       0&lt;0.05,"**",IF(       0&lt;0.1,"*","NS")))</f>
        <v>***</v>
      </c>
      <c r="P52" s="296" t="s">
        <v>609</v>
      </c>
      <c r="Q52" s="4">
        <v>31.94582779974165</v>
      </c>
      <c r="R52" s="4">
        <v>70.144452503511644</v>
      </c>
      <c r="S52" s="4">
        <v>38.198624703769198</v>
      </c>
      <c r="T52" s="4905" t="str">
        <f>IF(       0&lt;0.01,"***",IF(       0&lt;0.05,"**",IF(       0&lt;0.1,"*","NS")))</f>
        <v>***</v>
      </c>
    </row>
    <row r="53" spans="1:20" x14ac:dyDescent="0.2">
      <c r="A53" s="296" t="s">
        <v>387</v>
      </c>
      <c r="B53" s="4">
        <v>47.61335540852334</v>
      </c>
      <c r="C53" s="4">
        <v>59.276154191675943</v>
      </c>
      <c r="D53" s="4">
        <v>11.662798783152651</v>
      </c>
      <c r="E53" s="4906" t="str">
        <f>IF(       0.001&lt;0.01,"***",IF(       0.001&lt;0.05,"**",IF(       0.001&lt;0.1,"*","NS")))</f>
        <v>***</v>
      </c>
      <c r="G53" s="296" t="s">
        <v>491</v>
      </c>
      <c r="H53" s="4">
        <v>47.61335540852334</v>
      </c>
      <c r="I53" s="4">
        <v>57.371665291242692</v>
      </c>
      <c r="J53" s="4">
        <v>9.7583098827193453</v>
      </c>
      <c r="K53" s="4907" t="str">
        <f>IF(       0.004&lt;0.01,"***",IF(       0.004&lt;0.05,"**",IF(       0.004&lt;0.1,"*","NS")))</f>
        <v>***</v>
      </c>
      <c r="L53" s="4">
        <v>64.636401957233474</v>
      </c>
      <c r="M53" s="4">
        <v>17.023046548710138</v>
      </c>
      <c r="N53" s="4908" t="str">
        <f>IF(       0.002&lt;0.01,"***",IF(       0.002&lt;0.05,"**",IF(       0.002&lt;0.1,"*","NS")))</f>
        <v>***</v>
      </c>
      <c r="P53" s="296" t="s">
        <v>610</v>
      </c>
      <c r="Q53" s="4">
        <v>49.522191445872252</v>
      </c>
      <c r="R53" s="4">
        <v>64.636401957233474</v>
      </c>
      <c r="S53" s="4">
        <v>15.114210511361184</v>
      </c>
      <c r="T53" s="4909" t="str">
        <f>IF(       0.004&lt;0.01,"***",IF(       0.004&lt;0.05,"**",IF(       0.004&lt;0.1,"*","NS")))</f>
        <v>***</v>
      </c>
    </row>
    <row r="54" spans="1:20" x14ac:dyDescent="0.2">
      <c r="A54" s="296" t="s">
        <v>388</v>
      </c>
      <c r="B54" s="4">
        <v>50.234368047689188</v>
      </c>
      <c r="C54" s="4">
        <v>62.660787751199287</v>
      </c>
      <c r="D54" s="4">
        <v>12.426419703509968</v>
      </c>
      <c r="E54" s="4910" t="str">
        <f>IF(       0&lt;0.01,"***",IF(       0&lt;0.05,"**",IF(       0&lt;0.1,"*","NS")))</f>
        <v>***</v>
      </c>
      <c r="G54" s="296" t="s">
        <v>492</v>
      </c>
      <c r="H54" s="4">
        <v>50.234368047689188</v>
      </c>
      <c r="I54" s="4">
        <v>59.18823985386355</v>
      </c>
      <c r="J54" s="4">
        <v>8.9538718061743161</v>
      </c>
      <c r="K54" s="4911" t="str">
        <f>IF(       0.007&lt;0.01,"***",IF(       0.007&lt;0.05,"**",IF(       0.007&lt;0.1,"*","NS")))</f>
        <v>***</v>
      </c>
      <c r="L54" s="4">
        <v>71.338101713663704</v>
      </c>
      <c r="M54" s="4">
        <v>21.103733665974541</v>
      </c>
      <c r="N54" s="4912" t="str">
        <f>IF(       0&lt;0.01,"***",IF(       0&lt;0.05,"**",IF(       0&lt;0.1,"*","NS")))</f>
        <v>***</v>
      </c>
      <c r="P54" s="296" t="s">
        <v>611</v>
      </c>
      <c r="Q54" s="4">
        <v>53.118830905838323</v>
      </c>
      <c r="R54" s="4">
        <v>71.338101713663704</v>
      </c>
      <c r="S54" s="4">
        <v>18.21927080782536</v>
      </c>
      <c r="T54" s="4913" t="str">
        <f>IF(       0&lt;0.01,"***",IF(       0&lt;0.05,"**",IF(       0&lt;0.1,"*","NS")))</f>
        <v>***</v>
      </c>
    </row>
    <row r="55" spans="1:20" x14ac:dyDescent="0.2">
      <c r="A55" s="296" t="s">
        <v>389</v>
      </c>
      <c r="B55" s="4">
        <v>54.502646805407281</v>
      </c>
      <c r="C55" s="4">
        <v>57.072811611647907</v>
      </c>
      <c r="D55" s="4">
        <v>2.5701648062406202</v>
      </c>
      <c r="E55" s="4914" t="str">
        <f>IF(       0.341&lt;0.01,"***",IF(       0.341&lt;0.05,"**",IF(       0.341&lt;0.1,"*","NS")))</f>
        <v>NS</v>
      </c>
      <c r="G55" s="296" t="s">
        <v>493</v>
      </c>
      <c r="H55" s="4">
        <v>54.502646805407281</v>
      </c>
      <c r="I55" s="4">
        <v>57.826649083207897</v>
      </c>
      <c r="J55" s="4">
        <v>3.3240022778006177</v>
      </c>
      <c r="K55" s="4915" t="str">
        <f>IF(       0.335&lt;0.01,"***",IF(       0.335&lt;0.05,"**",IF(       0.335&lt;0.1,"*","NS")))</f>
        <v>NS</v>
      </c>
      <c r="L55" s="4">
        <v>55.017779102247736</v>
      </c>
      <c r="M55" s="4">
        <v>0.51513229684046868</v>
      </c>
      <c r="N55" s="4916" t="str">
        <f>IF(       0.91&lt;0.01,"***",IF(       0.91&lt;0.05,"**",IF(       0.91&lt;0.1,"*","NS")))</f>
        <v>NS</v>
      </c>
      <c r="P55" s="296" t="s">
        <v>612</v>
      </c>
      <c r="Q55" s="4">
        <v>55.307575727691173</v>
      </c>
      <c r="R55" s="4">
        <v>55.017779102247736</v>
      </c>
      <c r="S55" s="4">
        <v>-0.28979662544340606</v>
      </c>
      <c r="T55" s="4917" t="str">
        <f>IF(       0.951&lt;0.01,"***",IF(       0.951&lt;0.05,"**",IF(       0.951&lt;0.1,"*","NS")))</f>
        <v>NS</v>
      </c>
    </row>
    <row r="56" spans="1:20" x14ac:dyDescent="0.2">
      <c r="A56" s="296" t="s">
        <v>5835</v>
      </c>
      <c r="B56" s="4">
        <v>43.518858618116347</v>
      </c>
      <c r="C56" s="4">
        <v>58.421393934541058</v>
      </c>
      <c r="D56" s="4">
        <v>14.902535316424519</v>
      </c>
      <c r="E56" s="4918" t="str">
        <f>IF(       0&lt;0.01,"***",IF(       0&lt;0.05,"**",IF(       0&lt;0.1,"*","NS")))</f>
        <v>***</v>
      </c>
      <c r="G56" s="296" t="s">
        <v>5835</v>
      </c>
      <c r="H56" s="4">
        <v>43.518858618116347</v>
      </c>
      <c r="I56" s="4">
        <v>55.276148295456757</v>
      </c>
      <c r="J56" s="4">
        <v>11.757289677340585</v>
      </c>
      <c r="K56" s="4919" t="str">
        <f>IF(       0&lt;0.01,"***",IF(       0&lt;0.05,"**",IF(       0&lt;0.1,"*","NS")))</f>
        <v>***</v>
      </c>
      <c r="L56" s="4">
        <v>68.350791436585666</v>
      </c>
      <c r="M56" s="4">
        <v>24.831932818468825</v>
      </c>
      <c r="N56" s="4920" t="str">
        <f>IF(       0&lt;0.01,"***",IF(       0&lt;0.05,"**",IF(       0&lt;0.1,"*","NS")))</f>
        <v>***</v>
      </c>
      <c r="P56" s="296" t="s">
        <v>5835</v>
      </c>
      <c r="Q56" s="4">
        <v>46.450204623662657</v>
      </c>
      <c r="R56" s="4">
        <v>68.350791436585666</v>
      </c>
      <c r="S56" s="4">
        <v>21.900586812922743</v>
      </c>
      <c r="T56" s="4921" t="str">
        <f>IF(       0&lt;0.01,"***",IF(       0&lt;0.05,"**",IF(       0&lt;0.1,"*","NS")))</f>
        <v>***</v>
      </c>
    </row>
    <row r="58" spans="1:20" x14ac:dyDescent="0.2">
      <c r="A58" s="296" t="s">
        <v>390</v>
      </c>
      <c r="G58" s="296" t="s">
        <v>494</v>
      </c>
      <c r="P58" s="296" t="s">
        <v>613</v>
      </c>
    </row>
    <row r="59" spans="1:20" s="3" customFormat="1" x14ac:dyDescent="0.2">
      <c r="A59" s="6558" t="s">
        <v>391</v>
      </c>
      <c r="B59" s="6559" t="s">
        <v>392</v>
      </c>
      <c r="C59" s="6560" t="s">
        <v>393</v>
      </c>
      <c r="D59" s="6561" t="s">
        <v>394</v>
      </c>
      <c r="E59" s="6562" t="s">
        <v>395</v>
      </c>
      <c r="G59" s="6563" t="s">
        <v>495</v>
      </c>
      <c r="H59" s="6564" t="s">
        <v>496</v>
      </c>
      <c r="I59" s="6565" t="s">
        <v>497</v>
      </c>
      <c r="J59" s="6566" t="s">
        <v>498</v>
      </c>
      <c r="K59" s="6567" t="s">
        <v>499</v>
      </c>
      <c r="L59" s="6568" t="s">
        <v>544</v>
      </c>
      <c r="M59" s="6569" t="s">
        <v>545</v>
      </c>
      <c r="N59" s="6570" t="s">
        <v>546</v>
      </c>
      <c r="P59" s="6571" t="s">
        <v>614</v>
      </c>
      <c r="Q59" s="6572" t="s">
        <v>615</v>
      </c>
      <c r="R59" s="6573" t="s">
        <v>616</v>
      </c>
      <c r="S59" s="6574" t="s">
        <v>617</v>
      </c>
      <c r="T59" s="6575" t="s">
        <v>618</v>
      </c>
    </row>
    <row r="60" spans="1:20" x14ac:dyDescent="0.2">
      <c r="A60" s="296" t="s">
        <v>396</v>
      </c>
      <c r="B60" s="4">
        <v>58.896683315394633</v>
      </c>
      <c r="C60" s="4">
        <v>73.959023390110957</v>
      </c>
      <c r="D60" s="4">
        <v>15.062340074716369</v>
      </c>
      <c r="E60" s="4922" t="str">
        <f t="shared" ref="E60:E65" si="14">IF(       0&lt;0.01,"***",IF(       0&lt;0.05,"**",IF(       0&lt;0.1,"*","NS")))</f>
        <v>***</v>
      </c>
      <c r="G60" s="296" t="s">
        <v>500</v>
      </c>
      <c r="H60" s="4">
        <v>58.896683315394633</v>
      </c>
      <c r="I60" s="4">
        <v>70.551385960313425</v>
      </c>
      <c r="J60" s="4">
        <v>11.654702644918796</v>
      </c>
      <c r="K60" s="4923" t="str">
        <f>IF(       0&lt;0.01,"***",IF(       0&lt;0.05,"**",IF(       0&lt;0.1,"*","NS")))</f>
        <v>***</v>
      </c>
      <c r="L60" s="4">
        <v>87.46462905769846</v>
      </c>
      <c r="M60" s="4">
        <v>28.567945742303738</v>
      </c>
      <c r="N60" s="4924" t="str">
        <f t="shared" ref="N60:N65" si="15">IF(       0&lt;0.01,"***",IF(       0&lt;0.05,"**",IF(       0&lt;0.1,"*","NS")))</f>
        <v>***</v>
      </c>
      <c r="P60" s="296" t="s">
        <v>619</v>
      </c>
      <c r="Q60" s="4">
        <v>63.207093970916887</v>
      </c>
      <c r="R60" s="4">
        <v>87.46462905769846</v>
      </c>
      <c r="S60" s="4">
        <v>24.257535086781065</v>
      </c>
      <c r="T60" s="4925" t="str">
        <f>IF(       0&lt;0.01,"***",IF(       0&lt;0.05,"**",IF(       0&lt;0.1,"*","NS")))</f>
        <v>***</v>
      </c>
    </row>
    <row r="61" spans="1:20" x14ac:dyDescent="0.2">
      <c r="A61" s="296" t="s">
        <v>397</v>
      </c>
      <c r="B61" s="4">
        <v>52.654085299463993</v>
      </c>
      <c r="C61" s="4">
        <v>75.868068366469103</v>
      </c>
      <c r="D61" s="4">
        <v>23.213983067004754</v>
      </c>
      <c r="E61" s="4926" t="str">
        <f t="shared" si="14"/>
        <v>***</v>
      </c>
      <c r="G61" s="296" t="s">
        <v>501</v>
      </c>
      <c r="H61" s="4">
        <v>52.654085299463993</v>
      </c>
      <c r="I61" s="4">
        <v>72.611598031899476</v>
      </c>
      <c r="J61" s="4">
        <v>19.957512732435152</v>
      </c>
      <c r="K61" s="4927" t="str">
        <f>IF(       0&lt;0.01,"***",IF(       0&lt;0.05,"**",IF(       0&lt;0.1,"*","NS")))</f>
        <v>***</v>
      </c>
      <c r="L61" s="4">
        <v>84.375663238230175</v>
      </c>
      <c r="M61" s="4">
        <v>31.721577938765837</v>
      </c>
      <c r="N61" s="4928" t="str">
        <f t="shared" si="15"/>
        <v>***</v>
      </c>
      <c r="P61" s="296" t="s">
        <v>620</v>
      </c>
      <c r="Q61" s="4">
        <v>58.83601220458349</v>
      </c>
      <c r="R61" s="4">
        <v>84.375663238230175</v>
      </c>
      <c r="S61" s="4">
        <v>25.53965103364639</v>
      </c>
      <c r="T61" s="4929" t="str">
        <f>IF(       0&lt;0.01,"***",IF(       0&lt;0.05,"**",IF(       0&lt;0.1,"*","NS")))</f>
        <v>***</v>
      </c>
    </row>
    <row r="62" spans="1:20" x14ac:dyDescent="0.2">
      <c r="A62" s="296" t="s">
        <v>398</v>
      </c>
      <c r="B62" s="4">
        <v>55.714563458513069</v>
      </c>
      <c r="C62" s="4">
        <v>72.821531337281655</v>
      </c>
      <c r="D62" s="4">
        <v>17.106967878768707</v>
      </c>
      <c r="E62" s="4930" t="str">
        <f t="shared" si="14"/>
        <v>***</v>
      </c>
      <c r="G62" s="296" t="s">
        <v>502</v>
      </c>
      <c r="H62" s="4">
        <v>55.714563458513069</v>
      </c>
      <c r="I62" s="4">
        <v>72.073833774930577</v>
      </c>
      <c r="J62" s="4">
        <v>16.359270316417451</v>
      </c>
      <c r="K62" s="4931" t="str">
        <f>IF(       0&lt;0.01,"***",IF(       0&lt;0.05,"**",IF(       0&lt;0.1,"*","NS")))</f>
        <v>***</v>
      </c>
      <c r="L62" s="4">
        <v>75.031726927326289</v>
      </c>
      <c r="M62" s="4">
        <v>19.317163468812922</v>
      </c>
      <c r="N62" s="4932" t="str">
        <f t="shared" si="15"/>
        <v>***</v>
      </c>
      <c r="P62" s="296" t="s">
        <v>621</v>
      </c>
      <c r="Q62" s="4">
        <v>59.869879720412172</v>
      </c>
      <c r="R62" s="4">
        <v>75.031726927326289</v>
      </c>
      <c r="S62" s="4">
        <v>15.161847206913949</v>
      </c>
      <c r="T62" s="4933" t="str">
        <f>IF(       0.002&lt;0.01,"***",IF(       0.002&lt;0.05,"**",IF(       0.002&lt;0.1,"*","NS")))</f>
        <v>***</v>
      </c>
    </row>
    <row r="63" spans="1:20" x14ac:dyDescent="0.2">
      <c r="A63" s="296" t="s">
        <v>399</v>
      </c>
      <c r="B63" s="4">
        <v>61.110283887954523</v>
      </c>
      <c r="C63" s="4">
        <v>72.909769901374077</v>
      </c>
      <c r="D63" s="4">
        <v>11.799486013419543</v>
      </c>
      <c r="E63" s="4934" t="str">
        <f t="shared" si="14"/>
        <v>***</v>
      </c>
      <c r="G63" s="296" t="s">
        <v>503</v>
      </c>
      <c r="H63" s="4">
        <v>61.110283887954523</v>
      </c>
      <c r="I63" s="4">
        <v>70.498447131249733</v>
      </c>
      <c r="J63" s="4">
        <v>9.3881632432951818</v>
      </c>
      <c r="K63" s="4935" t="str">
        <f>IF(       0&lt;0.01,"***",IF(       0&lt;0.05,"**",IF(       0&lt;0.1,"*","NS")))</f>
        <v>***</v>
      </c>
      <c r="L63" s="4">
        <v>81.597916635336816</v>
      </c>
      <c r="M63" s="4">
        <v>20.487632747382193</v>
      </c>
      <c r="N63" s="4936" t="str">
        <f t="shared" si="15"/>
        <v>***</v>
      </c>
      <c r="P63" s="296" t="s">
        <v>622</v>
      </c>
      <c r="Q63" s="4">
        <v>63.951506014724693</v>
      </c>
      <c r="R63" s="4">
        <v>81.597916635336816</v>
      </c>
      <c r="S63" s="4">
        <v>17.646410620612198</v>
      </c>
      <c r="T63" s="4937" t="str">
        <f>IF(       0&lt;0.01,"***",IF(       0&lt;0.05,"**",IF(       0&lt;0.1,"*","NS")))</f>
        <v>***</v>
      </c>
    </row>
    <row r="64" spans="1:20" x14ac:dyDescent="0.2">
      <c r="A64" s="296" t="s">
        <v>400</v>
      </c>
      <c r="B64" s="4">
        <v>68.771151342068393</v>
      </c>
      <c r="C64" s="4">
        <v>79.808201945954309</v>
      </c>
      <c r="D64" s="4">
        <v>11.037050603885994</v>
      </c>
      <c r="E64" s="4938" t="str">
        <f t="shared" si="14"/>
        <v>***</v>
      </c>
      <c r="G64" s="296" t="s">
        <v>504</v>
      </c>
      <c r="H64" s="4">
        <v>68.771151342068393</v>
      </c>
      <c r="I64" s="4">
        <v>77.708626080438947</v>
      </c>
      <c r="J64" s="4">
        <v>8.9374747383706001</v>
      </c>
      <c r="K64" s="4939" t="str">
        <f>IF(       0.002&lt;0.01,"***",IF(       0.002&lt;0.05,"**",IF(       0.002&lt;0.1,"*","NS")))</f>
        <v>***</v>
      </c>
      <c r="L64" s="4">
        <v>89.759110515945821</v>
      </c>
      <c r="M64" s="4">
        <v>20.987959173877357</v>
      </c>
      <c r="N64" s="4940" t="str">
        <f t="shared" si="15"/>
        <v>***</v>
      </c>
      <c r="P64" s="296" t="s">
        <v>623</v>
      </c>
      <c r="Q64" s="4">
        <v>71.261023162589666</v>
      </c>
      <c r="R64" s="4">
        <v>89.759110515945821</v>
      </c>
      <c r="S64" s="4">
        <v>18.498087353355999</v>
      </c>
      <c r="T64" s="4941" t="str">
        <f>IF(       0&lt;0.01,"***",IF(       0&lt;0.05,"**",IF(       0&lt;0.1,"*","NS")))</f>
        <v>***</v>
      </c>
    </row>
    <row r="65" spans="1:20" x14ac:dyDescent="0.2">
      <c r="A65" s="296" t="s">
        <v>401</v>
      </c>
      <c r="B65" s="4">
        <v>47.576788009249697</v>
      </c>
      <c r="C65" s="4">
        <v>67.734043203089342</v>
      </c>
      <c r="D65" s="4">
        <v>20.157255193839472</v>
      </c>
      <c r="E65" s="4942" t="str">
        <f t="shared" si="14"/>
        <v>***</v>
      </c>
      <c r="G65" s="296" t="s">
        <v>505</v>
      </c>
      <c r="H65" s="4">
        <v>47.576788009249697</v>
      </c>
      <c r="I65" s="4">
        <v>64.375634487788233</v>
      </c>
      <c r="J65" s="4">
        <v>16.798846478538355</v>
      </c>
      <c r="K65" s="4943" t="str">
        <f>IF(       0&lt;0.01,"***",IF(       0&lt;0.05,"**",IF(       0&lt;0.1,"*","NS")))</f>
        <v>***</v>
      </c>
      <c r="L65" s="4">
        <v>78.083170609714074</v>
      </c>
      <c r="M65" s="4">
        <v>30.506382600464715</v>
      </c>
      <c r="N65" s="4944" t="str">
        <f t="shared" si="15"/>
        <v>***</v>
      </c>
      <c r="P65" s="296" t="s">
        <v>624</v>
      </c>
      <c r="Q65" s="4">
        <v>52.517064668525308</v>
      </c>
      <c r="R65" s="4">
        <v>78.083170609714074</v>
      </c>
      <c r="S65" s="4">
        <v>25.566105941188709</v>
      </c>
      <c r="T65" s="4945" t="str">
        <f>IF(       0&lt;0.01,"***",IF(       0&lt;0.05,"**",IF(       0&lt;0.1,"*","NS")))</f>
        <v>***</v>
      </c>
    </row>
    <row r="66" spans="1:20" x14ac:dyDescent="0.2">
      <c r="A66" s="296" t="s">
        <v>12</v>
      </c>
      <c r="B66" s="4" t="s">
        <v>6067</v>
      </c>
      <c r="C66" s="4" t="s">
        <v>6067</v>
      </c>
      <c r="D66" s="4" t="s">
        <v>6067</v>
      </c>
      <c r="E66" s="4" t="s">
        <v>6067</v>
      </c>
      <c r="G66" s="296" t="s">
        <v>12</v>
      </c>
      <c r="H66" s="4" t="s">
        <v>6067</v>
      </c>
      <c r="I66" s="4" t="s">
        <v>6067</v>
      </c>
      <c r="J66" s="4" t="s">
        <v>6067</v>
      </c>
      <c r="K66" s="4" t="s">
        <v>6067</v>
      </c>
      <c r="L66" s="4" t="s">
        <v>6067</v>
      </c>
      <c r="M66" s="4" t="s">
        <v>6067</v>
      </c>
      <c r="N66" s="4" t="s">
        <v>6067</v>
      </c>
      <c r="P66" s="296" t="s">
        <v>12</v>
      </c>
      <c r="Q66" s="4" t="s">
        <v>6067</v>
      </c>
      <c r="R66" s="4" t="s">
        <v>6067</v>
      </c>
      <c r="S66" s="4" t="s">
        <v>6067</v>
      </c>
      <c r="T66" s="4" t="s">
        <v>6067</v>
      </c>
    </row>
    <row r="67" spans="1:20" x14ac:dyDescent="0.2">
      <c r="A67" s="296" t="s">
        <v>402</v>
      </c>
      <c r="B67" s="4">
        <v>84.157498461106599</v>
      </c>
      <c r="C67" s="4">
        <v>89.163716152142342</v>
      </c>
      <c r="D67" s="4">
        <v>5.0062176910356824</v>
      </c>
      <c r="E67" s="4946" t="str">
        <f>IF(       0.008&lt;0.01,"***",IF(       0.008&lt;0.05,"**",IF(       0.008&lt;0.1,"*","NS")))</f>
        <v>***</v>
      </c>
      <c r="G67" s="296" t="s">
        <v>506</v>
      </c>
      <c r="H67" s="4">
        <v>84.157498461106599</v>
      </c>
      <c r="I67" s="4">
        <v>88.39699315727286</v>
      </c>
      <c r="J67" s="4">
        <v>4.2394946961662781</v>
      </c>
      <c r="K67" s="4947" t="str">
        <f>IF(       0.048&lt;0.01,"***",IF(       0.048&lt;0.05,"**",IF(       0.048&lt;0.1,"*","NS")))</f>
        <v>**</v>
      </c>
      <c r="L67" s="4">
        <v>91.505919460578923</v>
      </c>
      <c r="M67" s="4">
        <v>7.3484209994722329</v>
      </c>
      <c r="N67" s="4948" t="str">
        <f>IF(       0.023&lt;0.01,"***",IF(       0.023&lt;0.05,"**",IF(       0.023&lt;0.1,"*","NS")))</f>
        <v>**</v>
      </c>
      <c r="P67" s="296" t="s">
        <v>625</v>
      </c>
      <c r="Q67" s="4">
        <v>84.924835095786278</v>
      </c>
      <c r="R67" s="4">
        <v>91.505919460578923</v>
      </c>
      <c r="S67" s="4">
        <v>6.5810843647927522</v>
      </c>
      <c r="T67" s="4949" t="str">
        <f>IF(       0.039&lt;0.01,"***",IF(       0.039&lt;0.05,"**",IF(       0.039&lt;0.1,"*","NS")))</f>
        <v>**</v>
      </c>
    </row>
    <row r="68" spans="1:20" x14ac:dyDescent="0.2">
      <c r="A68" s="296" t="s">
        <v>403</v>
      </c>
      <c r="B68" s="4">
        <v>53.812028180192101</v>
      </c>
      <c r="C68" s="4">
        <v>73.576985805746432</v>
      </c>
      <c r="D68" s="4">
        <v>19.764957625554391</v>
      </c>
      <c r="E68" s="4950" t="str">
        <f t="shared" ref="E68:E73" si="16">IF(       0&lt;0.01,"***",IF(       0&lt;0.05,"**",IF(       0&lt;0.1,"*","NS")))</f>
        <v>***</v>
      </c>
      <c r="G68" s="296" t="s">
        <v>507</v>
      </c>
      <c r="H68" s="4">
        <v>53.812028180192101</v>
      </c>
      <c r="I68" s="4">
        <v>69.285544233488835</v>
      </c>
      <c r="J68" s="4">
        <v>15.473516053296752</v>
      </c>
      <c r="K68" s="4951" t="str">
        <f t="shared" ref="K68:K73" si="17">IF(       0&lt;0.01,"***",IF(       0&lt;0.05,"**",IF(       0&lt;0.1,"*","NS")))</f>
        <v>***</v>
      </c>
      <c r="L68" s="4">
        <v>80.240405508055701</v>
      </c>
      <c r="M68" s="4">
        <v>26.428377327864034</v>
      </c>
      <c r="N68" s="4952" t="str">
        <f t="shared" ref="N68:N73" si="18">IF(       0&lt;0.01,"***",IF(       0&lt;0.05,"**",IF(       0&lt;0.1,"*","NS")))</f>
        <v>***</v>
      </c>
      <c r="P68" s="296" t="s">
        <v>626</v>
      </c>
      <c r="Q68" s="4">
        <v>59.315186882706001</v>
      </c>
      <c r="R68" s="4">
        <v>80.240405508055701</v>
      </c>
      <c r="S68" s="4">
        <v>20.925218625349714</v>
      </c>
      <c r="T68" s="4953" t="str">
        <f t="shared" ref="T68:T73" si="19">IF(       0&lt;0.01,"***",IF(       0&lt;0.05,"**",IF(       0&lt;0.1,"*","NS")))</f>
        <v>***</v>
      </c>
    </row>
    <row r="69" spans="1:20" x14ac:dyDescent="0.2">
      <c r="A69" s="296" t="s">
        <v>404</v>
      </c>
      <c r="B69" s="4">
        <v>63.22063378617721</v>
      </c>
      <c r="C69" s="4">
        <v>73.390050460207277</v>
      </c>
      <c r="D69" s="4">
        <v>10.169416674030158</v>
      </c>
      <c r="E69" s="4954" t="str">
        <f t="shared" si="16"/>
        <v>***</v>
      </c>
      <c r="G69" s="296" t="s">
        <v>508</v>
      </c>
      <c r="H69" s="4">
        <v>63.22063378617721</v>
      </c>
      <c r="I69" s="4">
        <v>71.098528236682995</v>
      </c>
      <c r="J69" s="4">
        <v>7.8778944505058428</v>
      </c>
      <c r="K69" s="4955" t="str">
        <f t="shared" si="17"/>
        <v>***</v>
      </c>
      <c r="L69" s="4">
        <v>80.930666140441687</v>
      </c>
      <c r="M69" s="4">
        <v>17.710032354264282</v>
      </c>
      <c r="N69" s="4956" t="str">
        <f t="shared" si="18"/>
        <v>***</v>
      </c>
      <c r="P69" s="296" t="s">
        <v>627</v>
      </c>
      <c r="Q69" s="4">
        <v>66.265156214986931</v>
      </c>
      <c r="R69" s="4">
        <v>80.930666140441687</v>
      </c>
      <c r="S69" s="4">
        <v>14.665509925455048</v>
      </c>
      <c r="T69" s="4957" t="str">
        <f t="shared" si="19"/>
        <v>***</v>
      </c>
    </row>
    <row r="70" spans="1:20" x14ac:dyDescent="0.2">
      <c r="A70" s="296" t="s">
        <v>405</v>
      </c>
      <c r="B70" s="4">
        <v>47.782635303662587</v>
      </c>
      <c r="C70" s="4">
        <v>70.560319417361853</v>
      </c>
      <c r="D70" s="4">
        <v>22.777684113699035</v>
      </c>
      <c r="E70" s="4958" t="str">
        <f t="shared" si="16"/>
        <v>***</v>
      </c>
      <c r="G70" s="296" t="s">
        <v>509</v>
      </c>
      <c r="H70" s="4">
        <v>47.782635303662587</v>
      </c>
      <c r="I70" s="4">
        <v>67.579148773507313</v>
      </c>
      <c r="J70" s="4">
        <v>19.796513469844719</v>
      </c>
      <c r="K70" s="4959" t="str">
        <f t="shared" si="17"/>
        <v>***</v>
      </c>
      <c r="L70" s="4">
        <v>78.957449235942235</v>
      </c>
      <c r="M70" s="4">
        <v>31.174813932279861</v>
      </c>
      <c r="N70" s="4960" t="str">
        <f t="shared" si="18"/>
        <v>***</v>
      </c>
      <c r="P70" s="296" t="s">
        <v>628</v>
      </c>
      <c r="Q70" s="4">
        <v>52.984769235115373</v>
      </c>
      <c r="R70" s="4">
        <v>78.957449235942235</v>
      </c>
      <c r="S70" s="4">
        <v>25.972680000827129</v>
      </c>
      <c r="T70" s="4961" t="str">
        <f t="shared" si="19"/>
        <v>***</v>
      </c>
    </row>
    <row r="71" spans="1:20" x14ac:dyDescent="0.2">
      <c r="A71" s="296" t="s">
        <v>406</v>
      </c>
      <c r="B71" s="4">
        <v>37.278970903040587</v>
      </c>
      <c r="C71" s="4">
        <v>66.28986988828926</v>
      </c>
      <c r="D71" s="4">
        <v>29.010898985247959</v>
      </c>
      <c r="E71" s="4962" t="str">
        <f t="shared" si="16"/>
        <v>***</v>
      </c>
      <c r="G71" s="296" t="s">
        <v>510</v>
      </c>
      <c r="H71" s="4">
        <v>37.278970903040587</v>
      </c>
      <c r="I71" s="4">
        <v>59.636051144310613</v>
      </c>
      <c r="J71" s="4">
        <v>22.357080241269667</v>
      </c>
      <c r="K71" s="4963" t="str">
        <f t="shared" si="17"/>
        <v>***</v>
      </c>
      <c r="L71" s="4">
        <v>82.910204834464409</v>
      </c>
      <c r="M71" s="4">
        <v>45.631233931423914</v>
      </c>
      <c r="N71" s="4964" t="str">
        <f t="shared" si="18"/>
        <v>***</v>
      </c>
      <c r="P71" s="296" t="s">
        <v>629</v>
      </c>
      <c r="Q71" s="4">
        <v>42.802479318073559</v>
      </c>
      <c r="R71" s="4">
        <v>82.910204834464409</v>
      </c>
      <c r="S71" s="4">
        <v>40.107725516390886</v>
      </c>
      <c r="T71" s="4965" t="str">
        <f t="shared" si="19"/>
        <v>***</v>
      </c>
    </row>
    <row r="72" spans="1:20" x14ac:dyDescent="0.2">
      <c r="A72" s="296" t="s">
        <v>407</v>
      </c>
      <c r="B72" s="4">
        <v>60.37191579236471</v>
      </c>
      <c r="C72" s="4">
        <v>74.70297882220423</v>
      </c>
      <c r="D72" s="4">
        <v>14.331063029839349</v>
      </c>
      <c r="E72" s="4966" t="str">
        <f t="shared" si="16"/>
        <v>***</v>
      </c>
      <c r="G72" s="296" t="s">
        <v>511</v>
      </c>
      <c r="H72" s="4">
        <v>60.37191579236471</v>
      </c>
      <c r="I72" s="4">
        <v>72.054283388556044</v>
      </c>
      <c r="J72" s="4">
        <v>11.682367596191316</v>
      </c>
      <c r="K72" s="4967" t="str">
        <f t="shared" si="17"/>
        <v>***</v>
      </c>
      <c r="L72" s="4">
        <v>82.755382532650671</v>
      </c>
      <c r="M72" s="4">
        <v>22.383466740285755</v>
      </c>
      <c r="N72" s="4968" t="str">
        <f t="shared" si="18"/>
        <v>***</v>
      </c>
      <c r="P72" s="296" t="s">
        <v>630</v>
      </c>
      <c r="Q72" s="4">
        <v>63.142273245893023</v>
      </c>
      <c r="R72" s="4">
        <v>82.755382532650671</v>
      </c>
      <c r="S72" s="4">
        <v>19.613109286757538</v>
      </c>
      <c r="T72" s="4969" t="str">
        <f t="shared" si="19"/>
        <v>***</v>
      </c>
    </row>
    <row r="73" spans="1:20" x14ac:dyDescent="0.2">
      <c r="A73" s="296" t="s">
        <v>408</v>
      </c>
      <c r="B73" s="4">
        <v>55.931930259003543</v>
      </c>
      <c r="C73" s="4">
        <v>72.90184845619666</v>
      </c>
      <c r="D73" s="4">
        <v>16.969918197193159</v>
      </c>
      <c r="E73" s="4970" t="str">
        <f t="shared" si="16"/>
        <v>***</v>
      </c>
      <c r="G73" s="296" t="s">
        <v>512</v>
      </c>
      <c r="H73" s="4">
        <v>55.931930259003543</v>
      </c>
      <c r="I73" s="4">
        <v>69.26932106967331</v>
      </c>
      <c r="J73" s="4">
        <v>13.33739081066968</v>
      </c>
      <c r="K73" s="4971" t="str">
        <f t="shared" si="17"/>
        <v>***</v>
      </c>
      <c r="L73" s="4">
        <v>81.046998076018085</v>
      </c>
      <c r="M73" s="4">
        <v>25.115067817014378</v>
      </c>
      <c r="N73" s="4972" t="str">
        <f t="shared" si="18"/>
        <v>***</v>
      </c>
      <c r="P73" s="296" t="s">
        <v>631</v>
      </c>
      <c r="Q73" s="4">
        <v>60.457223035150612</v>
      </c>
      <c r="R73" s="4">
        <v>81.046998076018085</v>
      </c>
      <c r="S73" s="4">
        <v>20.589775040867124</v>
      </c>
      <c r="T73" s="4973" t="str">
        <f t="shared" si="19"/>
        <v>***</v>
      </c>
    </row>
    <row r="74" spans="1:20" x14ac:dyDescent="0.2">
      <c r="A74" s="296" t="s">
        <v>409</v>
      </c>
      <c r="B74" s="4">
        <v>67.81969407498795</v>
      </c>
      <c r="C74" s="4">
        <v>75.765224726870514</v>
      </c>
      <c r="D74" s="4">
        <v>7.9455306518825797</v>
      </c>
      <c r="E74" s="4974" t="str">
        <f>IF(       0.001&lt;0.01,"***",IF(       0.001&lt;0.05,"**",IF(       0.001&lt;0.1,"*","NS")))</f>
        <v>***</v>
      </c>
      <c r="G74" s="296" t="s">
        <v>513</v>
      </c>
      <c r="H74" s="4">
        <v>67.81969407498795</v>
      </c>
      <c r="I74" s="4">
        <v>75.30640572463372</v>
      </c>
      <c r="J74" s="4">
        <v>7.4867116496458186</v>
      </c>
      <c r="K74" s="4975" t="str">
        <f>IF(       0.003&lt;0.01,"***",IF(       0.003&lt;0.05,"**",IF(       0.003&lt;0.1,"*","NS")))</f>
        <v>***</v>
      </c>
      <c r="L74" s="4">
        <v>77.285916786890638</v>
      </c>
      <c r="M74" s="4">
        <v>9.4662227119025761</v>
      </c>
      <c r="N74" s="4976" t="str">
        <f>IF(       0.002&lt;0.01,"***",IF(       0.002&lt;0.05,"**",IF(       0.002&lt;0.1,"*","NS")))</f>
        <v>***</v>
      </c>
      <c r="P74" s="296" t="s">
        <v>632</v>
      </c>
      <c r="Q74" s="4">
        <v>69.855391680990337</v>
      </c>
      <c r="R74" s="4">
        <v>77.285916786890638</v>
      </c>
      <c r="S74" s="4">
        <v>7.4305251059002568</v>
      </c>
      <c r="T74" s="4977" t="str">
        <f>IF(       0.007&lt;0.01,"***",IF(       0.007&lt;0.05,"**",IF(       0.007&lt;0.1,"*","NS")))</f>
        <v>***</v>
      </c>
    </row>
    <row r="75" spans="1:20" x14ac:dyDescent="0.2">
      <c r="A75" s="296" t="s">
        <v>5835</v>
      </c>
      <c r="B75" s="4">
        <v>55.635626189595733</v>
      </c>
      <c r="C75" s="4">
        <v>72.851845230873025</v>
      </c>
      <c r="D75" s="4">
        <v>17.216219041277164</v>
      </c>
      <c r="E75" s="4978" t="str">
        <f>IF(       0&lt;0.01,"***",IF(       0&lt;0.05,"**",IF(       0&lt;0.1,"*","NS")))</f>
        <v>***</v>
      </c>
      <c r="G75" s="296" t="s">
        <v>5835</v>
      </c>
      <c r="H75" s="4">
        <v>55.635626189595733</v>
      </c>
      <c r="I75" s="4">
        <v>69.902308672227051</v>
      </c>
      <c r="J75" s="4">
        <v>14.266682482632108</v>
      </c>
      <c r="K75" s="4979" t="str">
        <f>IF(       0&lt;0.01,"***",IF(       0&lt;0.05,"**",IF(       0&lt;0.1,"*","NS")))</f>
        <v>***</v>
      </c>
      <c r="L75" s="4">
        <v>81.326925361669808</v>
      </c>
      <c r="M75" s="4">
        <v>25.691299172074494</v>
      </c>
      <c r="N75" s="4980" t="str">
        <f>IF(       0&lt;0.01,"***",IF(       0&lt;0.05,"**",IF(       0&lt;0.1,"*","NS")))</f>
        <v>***</v>
      </c>
      <c r="P75" s="296" t="s">
        <v>5835</v>
      </c>
      <c r="Q75" s="4">
        <v>59.79814907575502</v>
      </c>
      <c r="R75" s="4">
        <v>81.326925361669808</v>
      </c>
      <c r="S75" s="4">
        <v>21.528776285914539</v>
      </c>
      <c r="T75" s="4981" t="str">
        <f>IF(       0&lt;0.01,"***",IF(       0&lt;0.05,"**",IF(       0&lt;0.1,"*","NS")))</f>
        <v>***</v>
      </c>
    </row>
    <row r="77" spans="1:20" x14ac:dyDescent="0.2">
      <c r="A77" s="296" t="s">
        <v>410</v>
      </c>
      <c r="G77" s="296" t="s">
        <v>514</v>
      </c>
      <c r="P77" s="296" t="s">
        <v>633</v>
      </c>
    </row>
    <row r="78" spans="1:20" s="3" customFormat="1" x14ac:dyDescent="0.2">
      <c r="A78" s="6576" t="s">
        <v>411</v>
      </c>
      <c r="B78" s="6577" t="s">
        <v>412</v>
      </c>
      <c r="C78" s="6578" t="s">
        <v>413</v>
      </c>
      <c r="D78" s="6579" t="s">
        <v>414</v>
      </c>
      <c r="E78" s="6580" t="s">
        <v>415</v>
      </c>
      <c r="G78" s="6581" t="s">
        <v>515</v>
      </c>
      <c r="H78" s="6582" t="s">
        <v>516</v>
      </c>
      <c r="I78" s="6583" t="s">
        <v>517</v>
      </c>
      <c r="J78" s="6584" t="s">
        <v>518</v>
      </c>
      <c r="K78" s="6585" t="s">
        <v>519</v>
      </c>
      <c r="L78" s="6586" t="s">
        <v>547</v>
      </c>
      <c r="M78" s="6587" t="s">
        <v>548</v>
      </c>
      <c r="N78" s="6588" t="s">
        <v>549</v>
      </c>
      <c r="P78" s="6589" t="s">
        <v>634</v>
      </c>
      <c r="Q78" s="6590" t="s">
        <v>635</v>
      </c>
      <c r="R78" s="6591" t="s">
        <v>636</v>
      </c>
      <c r="S78" s="6592" t="s">
        <v>637</v>
      </c>
      <c r="T78" s="6593" t="s">
        <v>638</v>
      </c>
    </row>
    <row r="79" spans="1:20" x14ac:dyDescent="0.2">
      <c r="A79" s="296" t="s">
        <v>416</v>
      </c>
      <c r="B79" s="4" t="s">
        <v>6067</v>
      </c>
      <c r="C79" s="4" t="s">
        <v>6067</v>
      </c>
      <c r="D79" s="4" t="s">
        <v>6067</v>
      </c>
      <c r="E79" s="4" t="s">
        <v>6067</v>
      </c>
      <c r="G79" s="296" t="s">
        <v>520</v>
      </c>
      <c r="H79" s="4" t="s">
        <v>6067</v>
      </c>
      <c r="I79" s="4" t="s">
        <v>6067</v>
      </c>
      <c r="J79" s="4" t="s">
        <v>6067</v>
      </c>
      <c r="K79" s="4" t="s">
        <v>6067</v>
      </c>
      <c r="L79" s="4" t="s">
        <v>6067</v>
      </c>
      <c r="M79" s="4" t="s">
        <v>6067</v>
      </c>
      <c r="N79" s="4" t="s">
        <v>6067</v>
      </c>
      <c r="P79" s="296" t="s">
        <v>639</v>
      </c>
      <c r="Q79" s="4" t="s">
        <v>6067</v>
      </c>
      <c r="R79" s="4" t="s">
        <v>6067</v>
      </c>
      <c r="S79" s="4" t="s">
        <v>6067</v>
      </c>
      <c r="T79" s="4" t="s">
        <v>6067</v>
      </c>
    </row>
    <row r="80" spans="1:20" x14ac:dyDescent="0.2">
      <c r="A80" s="296" t="s">
        <v>417</v>
      </c>
      <c r="B80" s="4">
        <v>37.718489530947807</v>
      </c>
      <c r="C80" s="4">
        <v>64.233470361439956</v>
      </c>
      <c r="D80" s="4">
        <v>26.514980830491879</v>
      </c>
      <c r="E80" s="4982" t="str">
        <f>IF(       0&lt;0.01,"***",IF(       0&lt;0.05,"**",IF(       0&lt;0.1,"*","NS")))</f>
        <v>***</v>
      </c>
      <c r="G80" s="296" t="s">
        <v>521</v>
      </c>
      <c r="H80" s="4">
        <v>37.718489530947807</v>
      </c>
      <c r="I80" s="4">
        <v>58.445838124383471</v>
      </c>
      <c r="J80" s="4">
        <v>20.727348593435746</v>
      </c>
      <c r="K80" s="4983" t="str">
        <f>IF(       0.005&lt;0.01,"***",IF(       0.005&lt;0.05,"**",IF(       0.005&lt;0.1,"*","NS")))</f>
        <v>***</v>
      </c>
      <c r="L80" s="4">
        <v>79.592047637789875</v>
      </c>
      <c r="M80" s="4">
        <v>41.873558106842161</v>
      </c>
      <c r="N80" s="4984" t="str">
        <f>IF(       0&lt;0.01,"***",IF(       0&lt;0.05,"**",IF(       0&lt;0.1,"*","NS")))</f>
        <v>***</v>
      </c>
      <c r="P80" s="296" t="s">
        <v>640</v>
      </c>
      <c r="Q80" s="4">
        <v>42.561707834858858</v>
      </c>
      <c r="R80" s="4">
        <v>79.592047637789875</v>
      </c>
      <c r="S80" s="4">
        <v>37.030339802930918</v>
      </c>
      <c r="T80" s="4985" t="str">
        <f>IF(       0&lt;0.01,"***",IF(       0&lt;0.05,"**",IF(       0&lt;0.1,"*","NS")))</f>
        <v>***</v>
      </c>
    </row>
    <row r="81" spans="1:20" x14ac:dyDescent="0.2">
      <c r="A81" s="296" t="s">
        <v>418</v>
      </c>
      <c r="B81" s="4" t="s">
        <v>6067</v>
      </c>
      <c r="C81" s="4" t="s">
        <v>6067</v>
      </c>
      <c r="D81" s="4" t="s">
        <v>6067</v>
      </c>
      <c r="E81" s="4" t="s">
        <v>6067</v>
      </c>
      <c r="G81" s="296" t="s">
        <v>522</v>
      </c>
      <c r="H81" s="4" t="s">
        <v>6067</v>
      </c>
      <c r="I81" s="4" t="s">
        <v>6067</v>
      </c>
      <c r="J81" s="4" t="s">
        <v>6067</v>
      </c>
      <c r="K81" s="4" t="s">
        <v>6067</v>
      </c>
      <c r="L81" s="4" t="s">
        <v>6067</v>
      </c>
      <c r="M81" s="4" t="s">
        <v>6067</v>
      </c>
      <c r="N81" s="4" t="s">
        <v>6067</v>
      </c>
      <c r="P81" s="296" t="s">
        <v>641</v>
      </c>
      <c r="Q81" s="4" t="s">
        <v>6067</v>
      </c>
      <c r="R81" s="4" t="s">
        <v>6067</v>
      </c>
      <c r="S81" s="4" t="s">
        <v>6067</v>
      </c>
      <c r="T81" s="4" t="s">
        <v>6067</v>
      </c>
    </row>
    <row r="82" spans="1:20" x14ac:dyDescent="0.2">
      <c r="A82" s="296" t="s">
        <v>419</v>
      </c>
      <c r="B82" s="4" t="s">
        <v>6067</v>
      </c>
      <c r="C82" s="4" t="s">
        <v>6067</v>
      </c>
      <c r="D82" s="4" t="s">
        <v>6067</v>
      </c>
      <c r="E82" s="4" t="s">
        <v>6067</v>
      </c>
      <c r="G82" s="296" t="s">
        <v>523</v>
      </c>
      <c r="H82" s="4" t="s">
        <v>6067</v>
      </c>
      <c r="I82" s="4" t="s">
        <v>6067</v>
      </c>
      <c r="J82" s="4" t="s">
        <v>6067</v>
      </c>
      <c r="K82" s="4" t="s">
        <v>6067</v>
      </c>
      <c r="L82" s="4" t="s">
        <v>6067</v>
      </c>
      <c r="M82" s="4" t="s">
        <v>6067</v>
      </c>
      <c r="N82" s="4" t="s">
        <v>6067</v>
      </c>
      <c r="P82" s="296" t="s">
        <v>642</v>
      </c>
      <c r="Q82" s="4" t="s">
        <v>6067</v>
      </c>
      <c r="R82" s="4" t="s">
        <v>6067</v>
      </c>
      <c r="S82" s="4" t="s">
        <v>6067</v>
      </c>
      <c r="T82" s="4" t="s">
        <v>6067</v>
      </c>
    </row>
    <row r="83" spans="1:20" x14ac:dyDescent="0.2">
      <c r="A83" s="296" t="s">
        <v>420</v>
      </c>
      <c r="B83" s="4" t="s">
        <v>6067</v>
      </c>
      <c r="C83" s="4" t="s">
        <v>6067</v>
      </c>
      <c r="D83" s="4" t="s">
        <v>6067</v>
      </c>
      <c r="E83" s="4" t="s">
        <v>6067</v>
      </c>
      <c r="G83" s="296" t="s">
        <v>524</v>
      </c>
      <c r="H83" s="4" t="s">
        <v>6067</v>
      </c>
      <c r="I83" s="4" t="s">
        <v>6067</v>
      </c>
      <c r="J83" s="4" t="s">
        <v>6067</v>
      </c>
      <c r="K83" s="4" t="s">
        <v>6067</v>
      </c>
      <c r="L83" s="4" t="s">
        <v>6067</v>
      </c>
      <c r="M83" s="4" t="s">
        <v>6067</v>
      </c>
      <c r="N83" s="4" t="s">
        <v>6067</v>
      </c>
      <c r="P83" s="296" t="s">
        <v>643</v>
      </c>
      <c r="Q83" s="4" t="s">
        <v>6067</v>
      </c>
      <c r="R83" s="4" t="s">
        <v>6067</v>
      </c>
      <c r="S83" s="4" t="s">
        <v>6067</v>
      </c>
      <c r="T83" s="4" t="s">
        <v>6067</v>
      </c>
    </row>
    <row r="84" spans="1:20" x14ac:dyDescent="0.2">
      <c r="A84" s="296" t="s">
        <v>421</v>
      </c>
      <c r="B84" s="4" t="s">
        <v>6067</v>
      </c>
      <c r="C84" s="4" t="s">
        <v>6067</v>
      </c>
      <c r="D84" s="4" t="s">
        <v>6067</v>
      </c>
      <c r="E84" s="4" t="s">
        <v>6067</v>
      </c>
      <c r="G84" s="296" t="s">
        <v>525</v>
      </c>
      <c r="H84" s="4" t="s">
        <v>6067</v>
      </c>
      <c r="I84" s="4" t="s">
        <v>6067</v>
      </c>
      <c r="J84" s="4" t="s">
        <v>6067</v>
      </c>
      <c r="K84" s="4" t="s">
        <v>6067</v>
      </c>
      <c r="L84" s="4" t="s">
        <v>6067</v>
      </c>
      <c r="M84" s="4" t="s">
        <v>6067</v>
      </c>
      <c r="N84" s="4" t="s">
        <v>6067</v>
      </c>
      <c r="P84" s="296" t="s">
        <v>644</v>
      </c>
      <c r="Q84" s="4" t="s">
        <v>6067</v>
      </c>
      <c r="R84" s="4" t="s">
        <v>6067</v>
      </c>
      <c r="S84" s="4" t="s">
        <v>6067</v>
      </c>
      <c r="T84" s="4" t="s">
        <v>6067</v>
      </c>
    </row>
    <row r="85" spans="1:20" x14ac:dyDescent="0.2">
      <c r="A85" s="296" t="s">
        <v>422</v>
      </c>
      <c r="B85" s="4">
        <v>16.678963565912579</v>
      </c>
      <c r="C85" s="4">
        <v>30.346880108786241</v>
      </c>
      <c r="D85" s="4">
        <v>13.667916542873566</v>
      </c>
      <c r="E85" s="4986" t="str">
        <f>IF(       0&lt;0.01,"***",IF(       0&lt;0.05,"**",IF(       0&lt;0.1,"*","NS")))</f>
        <v>***</v>
      </c>
      <c r="G85" s="296" t="s">
        <v>526</v>
      </c>
      <c r="H85" s="4">
        <v>16.678963565912579</v>
      </c>
      <c r="I85" s="4">
        <v>27.859380772046581</v>
      </c>
      <c r="J85" s="4">
        <v>11.180417206133843</v>
      </c>
      <c r="K85" s="4987" t="str">
        <f>IF(       0&lt;0.01,"***",IF(       0&lt;0.05,"**",IF(       0&lt;0.1,"*","NS")))</f>
        <v>***</v>
      </c>
      <c r="L85" s="4">
        <v>42.082009333262867</v>
      </c>
      <c r="M85" s="4">
        <v>25.403045767350005</v>
      </c>
      <c r="N85" s="4988" t="str">
        <f>IF(       0&lt;0.01,"***",IF(       0&lt;0.05,"**",IF(       0&lt;0.1,"*","NS")))</f>
        <v>***</v>
      </c>
      <c r="P85" s="296" t="s">
        <v>645</v>
      </c>
      <c r="Q85" s="4">
        <v>18.352828633680019</v>
      </c>
      <c r="R85" s="4">
        <v>42.082009333262867</v>
      </c>
      <c r="S85" s="4">
        <v>23.729180699582756</v>
      </c>
      <c r="T85" s="4989" t="str">
        <f>IF(       0&lt;0.01,"***",IF(       0&lt;0.05,"**",IF(       0&lt;0.1,"*","NS")))</f>
        <v>***</v>
      </c>
    </row>
    <row r="86" spans="1:20" x14ac:dyDescent="0.2">
      <c r="A86" s="296" t="s">
        <v>423</v>
      </c>
      <c r="B86" s="4" t="s">
        <v>6067</v>
      </c>
      <c r="C86" s="4" t="s">
        <v>6067</v>
      </c>
      <c r="D86" s="4" t="s">
        <v>6067</v>
      </c>
      <c r="E86" s="4" t="s">
        <v>6067</v>
      </c>
      <c r="G86" s="296" t="s">
        <v>527</v>
      </c>
      <c r="H86" s="4" t="s">
        <v>6067</v>
      </c>
      <c r="I86" s="4" t="s">
        <v>6067</v>
      </c>
      <c r="J86" s="4" t="s">
        <v>6067</v>
      </c>
      <c r="K86" s="4" t="s">
        <v>6067</v>
      </c>
      <c r="L86" s="4" t="s">
        <v>6067</v>
      </c>
      <c r="M86" s="4" t="s">
        <v>6067</v>
      </c>
      <c r="N86" s="4" t="s">
        <v>6067</v>
      </c>
      <c r="P86" s="296" t="s">
        <v>646</v>
      </c>
      <c r="Q86" s="4" t="s">
        <v>6067</v>
      </c>
      <c r="R86" s="4" t="s">
        <v>6067</v>
      </c>
      <c r="S86" s="4" t="s">
        <v>6067</v>
      </c>
      <c r="T86" s="4" t="s">
        <v>6067</v>
      </c>
    </row>
    <row r="87" spans="1:20" x14ac:dyDescent="0.2">
      <c r="A87" s="296" t="s">
        <v>424</v>
      </c>
      <c r="B87" s="4" t="s">
        <v>6067</v>
      </c>
      <c r="C87" s="4" t="s">
        <v>6067</v>
      </c>
      <c r="D87" s="4" t="s">
        <v>6067</v>
      </c>
      <c r="E87" s="4" t="s">
        <v>6067</v>
      </c>
      <c r="G87" s="296" t="s">
        <v>528</v>
      </c>
      <c r="H87" s="4" t="s">
        <v>6067</v>
      </c>
      <c r="I87" s="4" t="s">
        <v>6067</v>
      </c>
      <c r="J87" s="4" t="s">
        <v>6067</v>
      </c>
      <c r="K87" s="4" t="s">
        <v>6067</v>
      </c>
      <c r="L87" s="4" t="s">
        <v>6067</v>
      </c>
      <c r="M87" s="4" t="s">
        <v>6067</v>
      </c>
      <c r="N87" s="4" t="s">
        <v>6067</v>
      </c>
      <c r="P87" s="296" t="s">
        <v>647</v>
      </c>
      <c r="Q87" s="4" t="s">
        <v>6067</v>
      </c>
      <c r="R87" s="4" t="s">
        <v>6067</v>
      </c>
      <c r="S87" s="4" t="s">
        <v>6067</v>
      </c>
      <c r="T87" s="4" t="s">
        <v>6067</v>
      </c>
    </row>
    <row r="88" spans="1:20" x14ac:dyDescent="0.2">
      <c r="A88" s="296" t="s">
        <v>425</v>
      </c>
      <c r="B88" s="4" t="s">
        <v>6067</v>
      </c>
      <c r="C88" s="4" t="s">
        <v>6067</v>
      </c>
      <c r="D88" s="4" t="s">
        <v>6067</v>
      </c>
      <c r="E88" s="4" t="s">
        <v>6067</v>
      </c>
      <c r="G88" s="296" t="s">
        <v>529</v>
      </c>
      <c r="H88" s="4" t="s">
        <v>6067</v>
      </c>
      <c r="I88" s="4" t="s">
        <v>6067</v>
      </c>
      <c r="J88" s="4" t="s">
        <v>6067</v>
      </c>
      <c r="K88" s="4" t="s">
        <v>6067</v>
      </c>
      <c r="L88" s="4" t="s">
        <v>6067</v>
      </c>
      <c r="M88" s="4" t="s">
        <v>6067</v>
      </c>
      <c r="N88" s="4" t="s">
        <v>6067</v>
      </c>
      <c r="P88" s="296" t="s">
        <v>648</v>
      </c>
      <c r="Q88" s="4" t="s">
        <v>6067</v>
      </c>
      <c r="R88" s="4" t="s">
        <v>6067</v>
      </c>
      <c r="S88" s="4" t="s">
        <v>6067</v>
      </c>
      <c r="T88" s="4" t="s">
        <v>6067</v>
      </c>
    </row>
    <row r="89" spans="1:20" x14ac:dyDescent="0.2">
      <c r="A89" s="296" t="s">
        <v>426</v>
      </c>
      <c r="B89" s="4">
        <v>21.810313411423859</v>
      </c>
      <c r="C89" s="4">
        <v>52.021326482514311</v>
      </c>
      <c r="D89" s="4">
        <v>30.211013071090637</v>
      </c>
      <c r="E89" s="4990" t="str">
        <f>IF(       0&lt;0.01,"***",IF(       0&lt;0.05,"**",IF(       0&lt;0.1,"*","NS")))</f>
        <v>***</v>
      </c>
      <c r="G89" s="296" t="s">
        <v>530</v>
      </c>
      <c r="H89" s="4">
        <v>21.810313411423859</v>
      </c>
      <c r="I89" s="4">
        <v>49.891732527163811</v>
      </c>
      <c r="J89" s="4">
        <v>28.081419115739507</v>
      </c>
      <c r="K89" s="4991" t="str">
        <f>IF(       0&lt;0.01,"***",IF(       0&lt;0.05,"**",IF(       0&lt;0.1,"*","NS")))</f>
        <v>***</v>
      </c>
      <c r="L89" s="4">
        <v>57.79380838579759</v>
      </c>
      <c r="M89" s="4">
        <v>35.983494974373535</v>
      </c>
      <c r="N89" s="4992" t="str">
        <f>IF(       0.001&lt;0.01,"***",IF(       0.001&lt;0.05,"**",IF(       0.001&lt;0.1,"*","NS")))</f>
        <v>***</v>
      </c>
      <c r="P89" s="296" t="s">
        <v>649</v>
      </c>
      <c r="Q89" s="4">
        <v>26.827443224848921</v>
      </c>
      <c r="R89" s="4">
        <v>57.79380838579759</v>
      </c>
      <c r="S89" s="4">
        <v>30.966365160948303</v>
      </c>
      <c r="T89" s="4993" t="str">
        <f>IF(       0.001&lt;0.01,"***",IF(       0.001&lt;0.05,"**",IF(       0.001&lt;0.1,"*","NS")))</f>
        <v>***</v>
      </c>
    </row>
    <row r="90" spans="1:20" x14ac:dyDescent="0.2">
      <c r="A90" s="296" t="s">
        <v>427</v>
      </c>
      <c r="B90" s="4" t="s">
        <v>6067</v>
      </c>
      <c r="C90" s="4" t="s">
        <v>6067</v>
      </c>
      <c r="D90" s="4" t="s">
        <v>6067</v>
      </c>
      <c r="E90" s="4" t="s">
        <v>6067</v>
      </c>
      <c r="G90" s="296" t="s">
        <v>531</v>
      </c>
      <c r="H90" s="4" t="s">
        <v>6067</v>
      </c>
      <c r="I90" s="4" t="s">
        <v>6067</v>
      </c>
      <c r="J90" s="4" t="s">
        <v>6067</v>
      </c>
      <c r="K90" s="4" t="s">
        <v>6067</v>
      </c>
      <c r="L90" s="4" t="s">
        <v>6067</v>
      </c>
      <c r="M90" s="4" t="s">
        <v>6067</v>
      </c>
      <c r="N90" s="4" t="s">
        <v>6067</v>
      </c>
      <c r="P90" s="296" t="s">
        <v>650</v>
      </c>
      <c r="Q90" s="4" t="s">
        <v>6067</v>
      </c>
      <c r="R90" s="4" t="s">
        <v>6067</v>
      </c>
      <c r="S90" s="4" t="s">
        <v>6067</v>
      </c>
      <c r="T90" s="4" t="s">
        <v>6067</v>
      </c>
    </row>
    <row r="91" spans="1:20" x14ac:dyDescent="0.2">
      <c r="A91" s="296" t="s">
        <v>428</v>
      </c>
      <c r="B91" s="4" t="s">
        <v>6067</v>
      </c>
      <c r="C91" s="4" t="s">
        <v>6067</v>
      </c>
      <c r="D91" s="4" t="s">
        <v>6067</v>
      </c>
      <c r="E91" s="4" t="s">
        <v>6067</v>
      </c>
      <c r="G91" s="296" t="s">
        <v>532</v>
      </c>
      <c r="H91" s="4" t="s">
        <v>6067</v>
      </c>
      <c r="I91" s="4" t="s">
        <v>6067</v>
      </c>
      <c r="J91" s="4" t="s">
        <v>6067</v>
      </c>
      <c r="K91" s="4" t="s">
        <v>6067</v>
      </c>
      <c r="L91" s="4" t="s">
        <v>6067</v>
      </c>
      <c r="M91" s="4" t="s">
        <v>6067</v>
      </c>
      <c r="N91" s="4" t="s">
        <v>6067</v>
      </c>
      <c r="P91" s="296" t="s">
        <v>651</v>
      </c>
      <c r="Q91" s="4" t="s">
        <v>6067</v>
      </c>
      <c r="R91" s="4" t="s">
        <v>6067</v>
      </c>
      <c r="S91" s="4" t="s">
        <v>6067</v>
      </c>
      <c r="T91" s="4" t="s">
        <v>6067</v>
      </c>
    </row>
    <row r="92" spans="1:20" x14ac:dyDescent="0.2">
      <c r="A92" s="296" t="s">
        <v>429</v>
      </c>
      <c r="B92" s="4">
        <v>44.51823964859706</v>
      </c>
      <c r="C92" s="4">
        <v>61.134663272426153</v>
      </c>
      <c r="D92" s="4">
        <v>16.616423623829025</v>
      </c>
      <c r="E92" s="4994" t="str">
        <f>IF(       0.009&lt;0.01,"***",IF(       0.009&lt;0.05,"**",IF(       0.009&lt;0.1,"*","NS")))</f>
        <v>***</v>
      </c>
      <c r="G92" s="296" t="s">
        <v>533</v>
      </c>
      <c r="H92" s="4">
        <v>44.51823964859706</v>
      </c>
      <c r="I92" s="4">
        <v>55.541694054839013</v>
      </c>
      <c r="J92" s="4">
        <v>11.02345440624204</v>
      </c>
      <c r="K92" s="4995" t="str">
        <f>IF(       0.052&lt;0.01,"***",IF(       0.052&lt;0.05,"**",IF(       0.052&lt;0.1,"*","NS")))</f>
        <v>*</v>
      </c>
      <c r="L92" s="4">
        <v>73.117768822159434</v>
      </c>
      <c r="M92" s="4">
        <v>28.599529173562331</v>
      </c>
      <c r="N92" s="4996" t="str">
        <f>IF(       0.002&lt;0.01,"***",IF(       0.002&lt;0.05,"**",IF(       0.002&lt;0.1,"*","NS")))</f>
        <v>***</v>
      </c>
      <c r="P92" s="296" t="s">
        <v>652</v>
      </c>
      <c r="Q92" s="4">
        <v>47.713474615064399</v>
      </c>
      <c r="R92" s="4">
        <v>73.117768822159434</v>
      </c>
      <c r="S92" s="4">
        <v>25.404294207095106</v>
      </c>
      <c r="T92" s="4997" t="str">
        <f>IF(       0.004&lt;0.01,"***",IF(       0.004&lt;0.05,"**",IF(       0.004&lt;0.1,"*","NS")))</f>
        <v>***</v>
      </c>
    </row>
    <row r="93" spans="1:20" x14ac:dyDescent="0.2">
      <c r="A93" s="296" t="s">
        <v>430</v>
      </c>
      <c r="B93" s="4" t="s">
        <v>6067</v>
      </c>
      <c r="C93" s="4" t="s">
        <v>6067</v>
      </c>
      <c r="D93" s="4" t="s">
        <v>6067</v>
      </c>
      <c r="E93" s="4" t="s">
        <v>6067</v>
      </c>
      <c r="G93" s="296" t="s">
        <v>534</v>
      </c>
      <c r="H93" s="4" t="s">
        <v>6067</v>
      </c>
      <c r="I93" s="4" t="s">
        <v>6067</v>
      </c>
      <c r="J93" s="4" t="s">
        <v>6067</v>
      </c>
      <c r="K93" s="4" t="s">
        <v>6067</v>
      </c>
      <c r="L93" s="4" t="s">
        <v>6067</v>
      </c>
      <c r="M93" s="4" t="s">
        <v>6067</v>
      </c>
      <c r="N93" s="4" t="s">
        <v>6067</v>
      </c>
      <c r="P93" s="296" t="s">
        <v>653</v>
      </c>
      <c r="Q93" s="4" t="s">
        <v>6067</v>
      </c>
      <c r="R93" s="4" t="s">
        <v>6067</v>
      </c>
      <c r="S93" s="4" t="s">
        <v>6067</v>
      </c>
      <c r="T93" s="4" t="s">
        <v>6067</v>
      </c>
    </row>
    <row r="94" spans="1:20" x14ac:dyDescent="0.2">
      <c r="A94" s="296" t="s">
        <v>5835</v>
      </c>
      <c r="B94" s="4">
        <v>26.587314140194991</v>
      </c>
      <c r="C94" s="4">
        <v>48.192230137190329</v>
      </c>
      <c r="D94" s="4">
        <v>21.60491599699489</v>
      </c>
      <c r="E94" s="4998" t="str">
        <f>IF(       0&lt;0.01,"***",IF(       0&lt;0.05,"**",IF(       0&lt;0.1,"*","NS")))</f>
        <v>***</v>
      </c>
      <c r="G94" s="296" t="s">
        <v>5835</v>
      </c>
      <c r="H94" s="4">
        <v>26.587314140194991</v>
      </c>
      <c r="I94" s="4">
        <v>44.003694295366508</v>
      </c>
      <c r="J94" s="4">
        <v>17.416380155171794</v>
      </c>
      <c r="K94" s="4999" t="str">
        <f>IF(       0&lt;0.01,"***",IF(       0&lt;0.05,"**",IF(       0&lt;0.1,"*","NS")))</f>
        <v>***</v>
      </c>
      <c r="L94" s="4">
        <v>62.47951953232981</v>
      </c>
      <c r="M94" s="4">
        <v>35.892205392135033</v>
      </c>
      <c r="N94" s="5000" t="str">
        <f>IF(       0&lt;0.01,"***",IF(       0&lt;0.05,"**",IF(       0&lt;0.1,"*","NS")))</f>
        <v>***</v>
      </c>
      <c r="P94" s="296" t="s">
        <v>5835</v>
      </c>
      <c r="Q94" s="4">
        <v>30.033508339159692</v>
      </c>
      <c r="R94" s="4">
        <v>62.47951953232981</v>
      </c>
      <c r="S94" s="4">
        <v>32.446011193170548</v>
      </c>
      <c r="T94" s="5001" t="str">
        <f>IF(       0&lt;0.01,"***",IF(       0&lt;0.05,"**",IF(       0&lt;0.1,"*","NS")))</f>
        <v>***</v>
      </c>
    </row>
    <row r="96" spans="1:20" x14ac:dyDescent="0.2">
      <c r="A96" s="296" t="s">
        <v>5756</v>
      </c>
      <c r="G96" s="296" t="s">
        <v>5757</v>
      </c>
      <c r="P96" s="296" t="s">
        <v>5758</v>
      </c>
    </row>
    <row r="97" spans="1:20" s="3" customFormat="1" x14ac:dyDescent="0.2">
      <c r="A97" s="6594" t="s">
        <v>4049</v>
      </c>
      <c r="B97" s="6595" t="s">
        <v>4050</v>
      </c>
      <c r="C97" s="6596" t="s">
        <v>4051</v>
      </c>
      <c r="D97" s="6597" t="s">
        <v>4052</v>
      </c>
      <c r="E97" s="6598" t="s">
        <v>4053</v>
      </c>
      <c r="G97" s="6599" t="s">
        <v>4089</v>
      </c>
      <c r="H97" s="6600" t="s">
        <v>4090</v>
      </c>
      <c r="I97" s="6601" t="s">
        <v>4091</v>
      </c>
      <c r="J97" s="6602" t="s">
        <v>4092</v>
      </c>
      <c r="K97" s="6603" t="s">
        <v>4093</v>
      </c>
      <c r="L97" s="6604" t="s">
        <v>4129</v>
      </c>
      <c r="M97" s="6605" t="s">
        <v>4130</v>
      </c>
      <c r="N97" s="6606" t="s">
        <v>4131</v>
      </c>
      <c r="P97" s="6607" t="s">
        <v>4135</v>
      </c>
      <c r="Q97" s="6608" t="s">
        <v>4136</v>
      </c>
      <c r="R97" s="6609" t="s">
        <v>4137</v>
      </c>
      <c r="S97" s="6610" t="s">
        <v>4138</v>
      </c>
      <c r="T97" s="6611" t="s">
        <v>4139</v>
      </c>
    </row>
    <row r="98" spans="1:20" x14ac:dyDescent="0.2">
      <c r="A98" s="296" t="s">
        <v>4054</v>
      </c>
      <c r="B98" s="4">
        <v>51.019090042276659</v>
      </c>
      <c r="C98" s="4">
        <v>63.928209689311423</v>
      </c>
      <c r="D98" s="4">
        <v>12.909119647034945</v>
      </c>
      <c r="E98" s="5002" t="str">
        <f>IF(       0&lt;0.01,"***",IF(       0&lt;0.05,"**",IF(       0&lt;0.1,"*","NS")))</f>
        <v>***</v>
      </c>
      <c r="G98" s="296" t="s">
        <v>4094</v>
      </c>
      <c r="H98" s="4">
        <v>51.019090042276659</v>
      </c>
      <c r="I98" s="4">
        <v>62.208219531293892</v>
      </c>
      <c r="J98" s="4">
        <v>11.189129489017221</v>
      </c>
      <c r="K98" s="5003" t="str">
        <f>IF(       0&lt;0.01,"***",IF(       0&lt;0.05,"**",IF(       0&lt;0.1,"*","NS")))</f>
        <v>***</v>
      </c>
      <c r="L98" s="4">
        <v>76.747257045836648</v>
      </c>
      <c r="M98" s="4">
        <v>25.728167003560046</v>
      </c>
      <c r="N98" s="5004" t="str">
        <f>IF(       0&lt;0.01,"***",IF(       0&lt;0.05,"**",IF(       0&lt;0.1,"*","NS")))</f>
        <v>***</v>
      </c>
      <c r="P98" s="296" t="s">
        <v>4140</v>
      </c>
      <c r="Q98" s="4">
        <v>54.258617943753897</v>
      </c>
      <c r="R98" s="4">
        <v>76.747257045836648</v>
      </c>
      <c r="S98" s="4">
        <v>22.488639102082665</v>
      </c>
      <c r="T98" s="5005" t="str">
        <f>IF(       0&lt;0.01,"***",IF(       0&lt;0.05,"**",IF(       0&lt;0.1,"*","NS")))</f>
        <v>***</v>
      </c>
    </row>
    <row r="99" spans="1:20" x14ac:dyDescent="0.2">
      <c r="A99" s="296" t="s">
        <v>4055</v>
      </c>
      <c r="B99" s="4">
        <v>46.692597815448082</v>
      </c>
      <c r="C99" s="4">
        <v>65.583908336198533</v>
      </c>
      <c r="D99" s="4">
        <v>18.891310520750551</v>
      </c>
      <c r="E99" s="5006" t="str">
        <f>IF(       0&lt;0.01,"***",IF(       0&lt;0.05,"**",IF(       0&lt;0.1,"*","NS")))</f>
        <v>***</v>
      </c>
      <c r="G99" s="296" t="s">
        <v>4095</v>
      </c>
      <c r="H99" s="4">
        <v>46.692597815448082</v>
      </c>
      <c r="I99" s="4">
        <v>64.369174551746909</v>
      </c>
      <c r="J99" s="4">
        <v>17.676576736298919</v>
      </c>
      <c r="K99" s="5007" t="str">
        <f>IF(       0&lt;0.01,"***",IF(       0&lt;0.05,"**",IF(       0&lt;0.1,"*","NS")))</f>
        <v>***</v>
      </c>
      <c r="L99" s="4">
        <v>71.380652880382073</v>
      </c>
      <c r="M99" s="4">
        <v>24.688055064934037</v>
      </c>
      <c r="N99" s="5008" t="str">
        <f>IF(       0&lt;0.01,"***",IF(       0&lt;0.05,"**",IF(       0&lt;0.1,"*","NS")))</f>
        <v>***</v>
      </c>
      <c r="P99" s="296" t="s">
        <v>4141</v>
      </c>
      <c r="Q99" s="4">
        <v>50.270867987187117</v>
      </c>
      <c r="R99" s="4">
        <v>71.380652880382073</v>
      </c>
      <c r="S99" s="4">
        <v>21.10978489319497</v>
      </c>
      <c r="T99" s="5009" t="str">
        <f>IF(       0&lt;0.01,"***",IF(       0&lt;0.05,"**",IF(       0&lt;0.1,"*","NS")))</f>
        <v>***</v>
      </c>
    </row>
    <row r="100" spans="1:20" x14ac:dyDescent="0.2">
      <c r="A100" s="296" t="s">
        <v>4056</v>
      </c>
      <c r="B100" s="4">
        <v>49.670805000835962</v>
      </c>
      <c r="C100" s="4">
        <v>62.541504959736692</v>
      </c>
      <c r="D100" s="4">
        <v>12.870699958900614</v>
      </c>
      <c r="E100" s="5010" t="str">
        <f>IF(       0&lt;0.01,"***",IF(       0&lt;0.05,"**",IF(       0&lt;0.1,"*","NS")))</f>
        <v>***</v>
      </c>
      <c r="G100" s="296" t="s">
        <v>4096</v>
      </c>
      <c r="H100" s="4">
        <v>49.670805000835962</v>
      </c>
      <c r="I100" s="4">
        <v>61.267924562957923</v>
      </c>
      <c r="J100" s="4">
        <v>11.597119562121804</v>
      </c>
      <c r="K100" s="5011" t="str">
        <f>IF(       0.001&lt;0.01,"***",IF(       0.001&lt;0.05,"**",IF(       0.001&lt;0.1,"*","NS")))</f>
        <v>***</v>
      </c>
      <c r="L100" s="4">
        <v>68.635710437620062</v>
      </c>
      <c r="M100" s="4">
        <v>18.964905436784058</v>
      </c>
      <c r="N100" s="5012" t="str">
        <f>IF(       0&lt;0.01,"***",IF(       0&lt;0.05,"**",IF(       0&lt;0.1,"*","NS")))</f>
        <v>***</v>
      </c>
      <c r="P100" s="296" t="s">
        <v>4142</v>
      </c>
      <c r="Q100" s="4">
        <v>51.437695662295248</v>
      </c>
      <c r="R100" s="4">
        <v>68.635710437620062</v>
      </c>
      <c r="S100" s="4">
        <v>17.198014775324715</v>
      </c>
      <c r="T100" s="5013" t="str">
        <f>IF(       0.012&lt;0.01,"***",IF(       0.012&lt;0.05,"**",IF(       0.012&lt;0.1,"*","NS")))</f>
        <v>**</v>
      </c>
    </row>
    <row r="101" spans="1:20" x14ac:dyDescent="0.2">
      <c r="A101" s="296" t="s">
        <v>4057</v>
      </c>
      <c r="B101" s="4">
        <v>56.149479337810781</v>
      </c>
      <c r="C101" s="4">
        <v>65.632384103311438</v>
      </c>
      <c r="D101" s="4">
        <v>9.4829047655007823</v>
      </c>
      <c r="E101" s="5014" t="str">
        <f>IF(       0.001&lt;0.01,"***",IF(       0.001&lt;0.05,"**",IF(       0.001&lt;0.1,"*","NS")))</f>
        <v>***</v>
      </c>
      <c r="G101" s="296" t="s">
        <v>4097</v>
      </c>
      <c r="H101" s="4">
        <v>56.149479337810781</v>
      </c>
      <c r="I101" s="4">
        <v>64.184789394175013</v>
      </c>
      <c r="J101" s="4">
        <v>8.0353100563640449</v>
      </c>
      <c r="K101" s="5015" t="str">
        <f>IF(       0.01&lt;0.01,"***",IF(       0.01&lt;0.05,"**",IF(       0.01&lt;0.1,"*","NS")))</f>
        <v>**</v>
      </c>
      <c r="L101" s="4">
        <v>75.402343021718792</v>
      </c>
      <c r="M101" s="4">
        <v>19.252863683907702</v>
      </c>
      <c r="N101" s="5016" t="str">
        <f>IF(       0.006&lt;0.01,"***",IF(       0.006&lt;0.05,"**",IF(       0.006&lt;0.1,"*","NS")))</f>
        <v>***</v>
      </c>
      <c r="P101" s="296" t="s">
        <v>4143</v>
      </c>
      <c r="Q101" s="4">
        <v>57.919038785070121</v>
      </c>
      <c r="R101" s="4">
        <v>75.402343021718792</v>
      </c>
      <c r="S101" s="4">
        <v>17.483304236648912</v>
      </c>
      <c r="T101" s="5017" t="str">
        <f>IF(       0&lt;0.01,"***",IF(       0&lt;0.05,"**",IF(       0&lt;0.1,"*","NS")))</f>
        <v>***</v>
      </c>
    </row>
    <row r="102" spans="1:20" x14ac:dyDescent="0.2">
      <c r="A102" s="296" t="s">
        <v>4058</v>
      </c>
      <c r="B102" s="4" t="s">
        <v>6067</v>
      </c>
      <c r="C102" s="4" t="s">
        <v>6067</v>
      </c>
      <c r="D102" s="4" t="s">
        <v>6067</v>
      </c>
      <c r="E102" s="4" t="s">
        <v>6067</v>
      </c>
      <c r="G102" s="296" t="s">
        <v>4098</v>
      </c>
      <c r="H102" s="4" t="s">
        <v>6067</v>
      </c>
      <c r="I102" s="4" t="s">
        <v>6067</v>
      </c>
      <c r="J102" s="4" t="s">
        <v>6067</v>
      </c>
      <c r="K102" s="4" t="s">
        <v>6067</v>
      </c>
      <c r="L102" s="4" t="s">
        <v>6067</v>
      </c>
      <c r="M102" s="4" t="s">
        <v>6067</v>
      </c>
      <c r="N102" s="4" t="s">
        <v>6067</v>
      </c>
      <c r="P102" s="296" t="s">
        <v>4144</v>
      </c>
      <c r="Q102" s="4" t="s">
        <v>6067</v>
      </c>
      <c r="R102" s="4" t="s">
        <v>6067</v>
      </c>
      <c r="S102" s="4" t="s">
        <v>6067</v>
      </c>
      <c r="T102" s="4" t="s">
        <v>6067</v>
      </c>
    </row>
    <row r="103" spans="1:20" x14ac:dyDescent="0.2">
      <c r="A103" s="296" t="s">
        <v>4059</v>
      </c>
      <c r="B103" s="4">
        <v>42.214385778240327</v>
      </c>
      <c r="C103" s="4">
        <v>56.110937366731122</v>
      </c>
      <c r="D103" s="4">
        <v>13.89655158849102</v>
      </c>
      <c r="E103" s="5018" t="str">
        <f>IF(       0&lt;0.01,"***",IF(       0&lt;0.05,"**",IF(       0&lt;0.1,"*","NS")))</f>
        <v>***</v>
      </c>
      <c r="G103" s="296" t="s">
        <v>4099</v>
      </c>
      <c r="H103" s="4">
        <v>42.214385778240327</v>
      </c>
      <c r="I103" s="4">
        <v>55.139517240342869</v>
      </c>
      <c r="J103" s="4">
        <v>12.925131462102359</v>
      </c>
      <c r="K103" s="5019" t="str">
        <f>IF(       0&lt;0.01,"***",IF(       0&lt;0.05,"**",IF(       0&lt;0.1,"*","NS")))</f>
        <v>***</v>
      </c>
      <c r="L103" s="4">
        <v>60.952667759427939</v>
      </c>
      <c r="M103" s="4">
        <v>18.738281981188006</v>
      </c>
      <c r="N103" s="5020" t="str">
        <f>IF(       0&lt;0.01,"***",IF(       0&lt;0.05,"**",IF(       0&lt;0.1,"*","NS")))</f>
        <v>***</v>
      </c>
      <c r="P103" s="296" t="s">
        <v>4145</v>
      </c>
      <c r="Q103" s="4">
        <v>44.845293034135743</v>
      </c>
      <c r="R103" s="4">
        <v>60.952667759427939</v>
      </c>
      <c r="S103" s="4">
        <v>16.107374725292093</v>
      </c>
      <c r="T103" s="5021" t="str">
        <f>IF(       0.002&lt;0.01,"***",IF(       0.002&lt;0.05,"**",IF(       0.002&lt;0.1,"*","NS")))</f>
        <v>***</v>
      </c>
    </row>
    <row r="104" spans="1:20" x14ac:dyDescent="0.2">
      <c r="A104" s="296" t="s">
        <v>4060</v>
      </c>
      <c r="B104" s="4">
        <v>16.07647421497186</v>
      </c>
      <c r="C104" s="4">
        <v>26.077265333799211</v>
      </c>
      <c r="D104" s="4">
        <v>10.000791118827431</v>
      </c>
      <c r="E104" s="5022" t="str">
        <f>IF(       0.001&lt;0.01,"***",IF(       0.001&lt;0.05,"**",IF(       0.001&lt;0.1,"*","NS")))</f>
        <v>***</v>
      </c>
      <c r="G104" s="296" t="s">
        <v>4100</v>
      </c>
      <c r="H104" s="4">
        <v>16.07647421497186</v>
      </c>
      <c r="I104" s="4">
        <v>23.089202863260159</v>
      </c>
      <c r="J104" s="4">
        <v>7.0127286482882134</v>
      </c>
      <c r="K104" s="5023" t="str">
        <f>IF(       0.021&lt;0.01,"***",IF(       0.021&lt;0.05,"**",IF(       0.021&lt;0.1,"*","NS")))</f>
        <v>**</v>
      </c>
      <c r="L104" s="4">
        <v>38.12144032059345</v>
      </c>
      <c r="M104" s="4">
        <v>22.044966105621878</v>
      </c>
      <c r="N104" s="5024" t="str">
        <f>IF(       0&lt;0.01,"***",IF(       0&lt;0.05,"**",IF(       0&lt;0.1,"*","NS")))</f>
        <v>***</v>
      </c>
      <c r="P104" s="296" t="s">
        <v>4146</v>
      </c>
      <c r="Q104" s="4">
        <v>16.815341476188308</v>
      </c>
      <c r="R104" s="4">
        <v>38.12144032059345</v>
      </c>
      <c r="S104" s="4">
        <v>21.306098844405621</v>
      </c>
      <c r="T104" s="5025" t="str">
        <f>IF(       0.006&lt;0.01,"***",IF(       0.006&lt;0.05,"**",IF(       0.006&lt;0.1,"*","NS")))</f>
        <v>***</v>
      </c>
    </row>
    <row r="105" spans="1:20" x14ac:dyDescent="0.2">
      <c r="A105" s="296" t="s">
        <v>4061</v>
      </c>
      <c r="B105" s="4" t="s">
        <v>6067</v>
      </c>
      <c r="C105" s="4" t="s">
        <v>6067</v>
      </c>
      <c r="D105" s="4" t="s">
        <v>6067</v>
      </c>
      <c r="E105" s="4" t="s">
        <v>6067</v>
      </c>
      <c r="G105" s="296" t="s">
        <v>4101</v>
      </c>
      <c r="H105" s="4" t="s">
        <v>6067</v>
      </c>
      <c r="I105" s="4" t="s">
        <v>6067</v>
      </c>
      <c r="J105" s="4" t="s">
        <v>6067</v>
      </c>
      <c r="K105" s="4" t="s">
        <v>6067</v>
      </c>
      <c r="L105" s="4" t="s">
        <v>6067</v>
      </c>
      <c r="M105" s="4" t="s">
        <v>6067</v>
      </c>
      <c r="N105" s="4" t="s">
        <v>6067</v>
      </c>
      <c r="P105" s="296" t="s">
        <v>4147</v>
      </c>
      <c r="Q105" s="4" t="s">
        <v>6067</v>
      </c>
      <c r="R105" s="4" t="s">
        <v>6067</v>
      </c>
      <c r="S105" s="4" t="s">
        <v>6067</v>
      </c>
      <c r="T105" s="4" t="s">
        <v>6067</v>
      </c>
    </row>
    <row r="106" spans="1:20" x14ac:dyDescent="0.2">
      <c r="A106" s="296" t="s">
        <v>4062</v>
      </c>
      <c r="B106" s="4">
        <v>45.894734911814027</v>
      </c>
      <c r="C106" s="4">
        <v>62.969218967691518</v>
      </c>
      <c r="D106" s="4">
        <v>17.074484055877488</v>
      </c>
      <c r="E106" s="5026" t="str">
        <f>IF(       0&lt;0.01,"***",IF(       0&lt;0.05,"**",IF(       0&lt;0.1,"*","NS")))</f>
        <v>***</v>
      </c>
      <c r="G106" s="296" t="s">
        <v>4102</v>
      </c>
      <c r="H106" s="4">
        <v>45.894734911814027</v>
      </c>
      <c r="I106" s="4">
        <v>61.449043666385293</v>
      </c>
      <c r="J106" s="4">
        <v>15.554308754571414</v>
      </c>
      <c r="K106" s="5027" t="str">
        <f>IF(       0&lt;0.01,"***",IF(       0&lt;0.05,"**",IF(       0&lt;0.1,"*","NS")))</f>
        <v>***</v>
      </c>
      <c r="L106" s="4">
        <v>66.998270238906329</v>
      </c>
      <c r="M106" s="4">
        <v>21.103535327092199</v>
      </c>
      <c r="N106" s="5028" t="str">
        <f>IF(       0.943&lt;0.01,"***",IF(       0.943&lt;0.05,"**",IF(       0.943&lt;0.1,"*","NS")))</f>
        <v>NS</v>
      </c>
      <c r="P106" s="296" t="s">
        <v>4148</v>
      </c>
      <c r="Q106" s="4">
        <v>49.64848150102798</v>
      </c>
      <c r="R106" s="4">
        <v>66.998270238906329</v>
      </c>
      <c r="S106" s="4">
        <v>17.349788737878516</v>
      </c>
      <c r="T106" s="5029" t="str">
        <f>IF(       0&lt;0.01,"***",IF(       0&lt;0.05,"**",IF(       0&lt;0.1,"*","NS")))</f>
        <v>***</v>
      </c>
    </row>
    <row r="107" spans="1:20" x14ac:dyDescent="0.2">
      <c r="A107" s="296" t="s">
        <v>4063</v>
      </c>
      <c r="B107" s="4">
        <v>61.715333813891313</v>
      </c>
      <c r="C107" s="4">
        <v>67.572135754556527</v>
      </c>
      <c r="D107" s="4">
        <v>5.8568019406652843</v>
      </c>
      <c r="E107" s="5030" t="str">
        <f>IF(       0.011&lt;0.01,"***",IF(       0.011&lt;0.05,"**",IF(       0.011&lt;0.1,"*","NS")))</f>
        <v>**</v>
      </c>
      <c r="G107" s="296" t="s">
        <v>4103</v>
      </c>
      <c r="H107" s="4">
        <v>61.715333813891313</v>
      </c>
      <c r="I107" s="4">
        <v>66.887106505150271</v>
      </c>
      <c r="J107" s="4">
        <v>5.1717726912589708</v>
      </c>
      <c r="K107" s="5031" t="str">
        <f>IF(       0.027&lt;0.01,"***",IF(       0.027&lt;0.05,"**",IF(       0.027&lt;0.1,"*","NS")))</f>
        <v>**</v>
      </c>
      <c r="L107" s="4">
        <v>71.633687708702098</v>
      </c>
      <c r="M107" s="4">
        <v>9.9183538948107373</v>
      </c>
      <c r="N107" s="5032" t="str">
        <f>IF(       0&lt;0.01,"***",IF(       0&lt;0.05,"**",IF(       0&lt;0.1,"*","NS")))</f>
        <v>***</v>
      </c>
      <c r="P107" s="296" t="s">
        <v>4149</v>
      </c>
      <c r="Q107" s="4">
        <v>63.36999707609953</v>
      </c>
      <c r="R107" s="4">
        <v>71.633687708702098</v>
      </c>
      <c r="S107" s="4">
        <v>8.2636906326026178</v>
      </c>
      <c r="T107" s="5033" t="str">
        <f>IF(       0.062&lt;0.01,"***",IF(       0.062&lt;0.05,"**",IF(       0.062&lt;0.1,"*","NS")))</f>
        <v>*</v>
      </c>
    </row>
    <row r="108" spans="1:20" x14ac:dyDescent="0.2">
      <c r="A108" s="296" t="s">
        <v>4064</v>
      </c>
      <c r="B108" s="4">
        <v>38.86963223417829</v>
      </c>
      <c r="C108" s="4">
        <v>58.176579275536362</v>
      </c>
      <c r="D108" s="4">
        <v>19.306947041358001</v>
      </c>
      <c r="E108" s="5034" t="str">
        <f>IF(       0&lt;0.01,"***",IF(       0&lt;0.05,"**",IF(       0&lt;0.1,"*","NS")))</f>
        <v>***</v>
      </c>
      <c r="G108" s="296" t="s">
        <v>4104</v>
      </c>
      <c r="H108" s="4">
        <v>38.86963223417829</v>
      </c>
      <c r="I108" s="4">
        <v>56.854071643115283</v>
      </c>
      <c r="J108" s="4">
        <v>17.98443940893679</v>
      </c>
      <c r="K108" s="5035" t="str">
        <f>IF(       0&lt;0.01,"***",IF(       0&lt;0.05,"**",IF(       0&lt;0.1,"*","NS")))</f>
        <v>***</v>
      </c>
      <c r="L108" s="4">
        <v>63.529253938468187</v>
      </c>
      <c r="M108" s="4">
        <v>24.659621704289695</v>
      </c>
      <c r="N108" s="5036" t="str">
        <f>IF(       0.031&lt;0.01,"***",IF(       0.031&lt;0.05,"**",IF(       0.031&lt;0.1,"*","NS")))</f>
        <v>**</v>
      </c>
      <c r="P108" s="296" t="s">
        <v>4150</v>
      </c>
      <c r="Q108" s="4">
        <v>41.637595953139588</v>
      </c>
      <c r="R108" s="4">
        <v>63.529253938468187</v>
      </c>
      <c r="S108" s="4">
        <v>21.891657985328614</v>
      </c>
      <c r="T108" s="5037" t="str">
        <f>IF(       0.001&lt;0.01,"***",IF(       0.001&lt;0.05,"**",IF(       0.001&lt;0.1,"*","NS")))</f>
        <v>***</v>
      </c>
    </row>
    <row r="109" spans="1:20" x14ac:dyDescent="0.2">
      <c r="A109" s="296" t="s">
        <v>4065</v>
      </c>
      <c r="B109" s="4">
        <v>26.877442086484042</v>
      </c>
      <c r="C109" s="4">
        <v>48.619069988422197</v>
      </c>
      <c r="D109" s="4">
        <v>21.741627901937626</v>
      </c>
      <c r="E109" s="5038" t="str">
        <f>IF(       0&lt;0.01,"***",IF(       0&lt;0.05,"**",IF(       0&lt;0.1,"*","NS")))</f>
        <v>***</v>
      </c>
      <c r="G109" s="296" t="s">
        <v>4105</v>
      </c>
      <c r="H109" s="4">
        <v>26.877442086484042</v>
      </c>
      <c r="I109" s="4">
        <v>45.621061611177417</v>
      </c>
      <c r="J109" s="4">
        <v>18.74361952469393</v>
      </c>
      <c r="K109" s="5039" t="str">
        <f>IF(       0&lt;0.01,"***",IF(       0&lt;0.05,"**",IF(       0&lt;0.1,"*","NS")))</f>
        <v>***</v>
      </c>
      <c r="L109" s="4">
        <v>64.803624169087882</v>
      </c>
      <c r="M109" s="4">
        <v>37.926182082603809</v>
      </c>
      <c r="N109" s="5040" t="str">
        <f>IF(       0&lt;0.01,"***",IF(       0&lt;0.05,"**",IF(       0&lt;0.1,"*","NS")))</f>
        <v>***</v>
      </c>
      <c r="P109" s="296" t="s">
        <v>4151</v>
      </c>
      <c r="Q109" s="4">
        <v>29.704171589968929</v>
      </c>
      <c r="R109" s="4">
        <v>64.803624169087882</v>
      </c>
      <c r="S109" s="4">
        <v>35.099452579119941</v>
      </c>
      <c r="T109" s="5041" t="str">
        <f>IF(       0&lt;0.01,"***",IF(       0&lt;0.05,"**",IF(       0&lt;0.1,"*","NS")))</f>
        <v>***</v>
      </c>
    </row>
    <row r="110" spans="1:20" x14ac:dyDescent="0.2">
      <c r="A110" s="296" t="s">
        <v>4066</v>
      </c>
      <c r="B110" s="4">
        <v>53.35207870004259</v>
      </c>
      <c r="C110" s="4">
        <v>64.470034792339092</v>
      </c>
      <c r="D110" s="4">
        <v>11.117956092296634</v>
      </c>
      <c r="E110" s="5042" t="str">
        <f>IF(       0&lt;0.01,"***",IF(       0&lt;0.05,"**",IF(       0&lt;0.1,"*","NS")))</f>
        <v>***</v>
      </c>
      <c r="G110" s="296" t="s">
        <v>4106</v>
      </c>
      <c r="H110" s="4">
        <v>53.35207870004259</v>
      </c>
      <c r="I110" s="4">
        <v>63.134384771178063</v>
      </c>
      <c r="J110" s="4">
        <v>9.7823060711354781</v>
      </c>
      <c r="K110" s="5043" t="str">
        <f>IF(       0&lt;0.01,"***",IF(       0&lt;0.05,"**",IF(       0&lt;0.1,"*","NS")))</f>
        <v>***</v>
      </c>
      <c r="L110" s="4">
        <v>69.76129212344425</v>
      </c>
      <c r="M110" s="4">
        <v>16.409213423401628</v>
      </c>
      <c r="N110" s="5044" t="str">
        <f>IF(       0&lt;0.01,"***",IF(       0&lt;0.05,"**",IF(       0&lt;0.1,"*","NS")))</f>
        <v>***</v>
      </c>
      <c r="P110" s="296" t="s">
        <v>4152</v>
      </c>
      <c r="Q110" s="4">
        <v>54.698556146479753</v>
      </c>
      <c r="R110" s="4">
        <v>69.76129212344425</v>
      </c>
      <c r="S110" s="4">
        <v>15.062735976964454</v>
      </c>
      <c r="T110" s="5045" t="str">
        <f>IF(       0.061&lt;0.01,"***",IF(       0.061&lt;0.05,"**",IF(       0.061&lt;0.1,"*","NS")))</f>
        <v>*</v>
      </c>
    </row>
    <row r="111" spans="1:20" x14ac:dyDescent="0.2">
      <c r="A111" s="296" t="s">
        <v>4067</v>
      </c>
      <c r="B111" s="4">
        <v>52.04535519405777</v>
      </c>
      <c r="C111" s="4">
        <v>63.149741569827633</v>
      </c>
      <c r="D111" s="4">
        <v>11.104386375769876</v>
      </c>
      <c r="E111" s="5046" t="str">
        <f>IF(       0&lt;0.01,"***",IF(       0&lt;0.05,"**",IF(       0&lt;0.1,"*","NS")))</f>
        <v>***</v>
      </c>
      <c r="G111" s="296" t="s">
        <v>4107</v>
      </c>
      <c r="H111" s="4">
        <v>52.04535519405777</v>
      </c>
      <c r="I111" s="4">
        <v>62.0574736062254</v>
      </c>
      <c r="J111" s="4">
        <v>10.012118412167622</v>
      </c>
      <c r="K111" s="5047" t="str">
        <f>IF(       0&lt;0.01,"***",IF(       0&lt;0.05,"**",IF(       0&lt;0.1,"*","NS")))</f>
        <v>***</v>
      </c>
      <c r="L111" s="4">
        <v>67.373622643376649</v>
      </c>
      <c r="M111" s="4">
        <v>15.328267449318977</v>
      </c>
      <c r="N111" s="5048" t="str">
        <f>IF(       0.044&lt;0.01,"***",IF(       0.044&lt;0.05,"**",IF(       0.044&lt;0.1,"*","NS")))</f>
        <v>**</v>
      </c>
      <c r="P111" s="296" t="s">
        <v>4153</v>
      </c>
      <c r="Q111" s="4">
        <v>54.682548329094608</v>
      </c>
      <c r="R111" s="4">
        <v>67.373622643376649</v>
      </c>
      <c r="S111" s="4">
        <v>12.691074314282071</v>
      </c>
      <c r="T111" s="5049" t="str">
        <f>IF(       0.004&lt;0.01,"***",IF(       0.004&lt;0.05,"**",IF(       0.004&lt;0.1,"*","NS")))</f>
        <v>***</v>
      </c>
    </row>
    <row r="112" spans="1:20" x14ac:dyDescent="0.2">
      <c r="A112" s="296" t="s">
        <v>4068</v>
      </c>
      <c r="B112" s="4">
        <v>64.295407601939132</v>
      </c>
      <c r="C112" s="4">
        <v>70.521085246738565</v>
      </c>
      <c r="D112" s="4">
        <v>6.2256776447994264</v>
      </c>
      <c r="E112" s="5050" t="str">
        <f>IF(       0.011&lt;0.01,"***",IF(       0.011&lt;0.05,"**",IF(       0.011&lt;0.1,"*","NS")))</f>
        <v>**</v>
      </c>
      <c r="G112" s="296" t="s">
        <v>4108</v>
      </c>
      <c r="H112" s="4">
        <v>64.295407601939132</v>
      </c>
      <c r="I112" s="4">
        <v>71.452511921067838</v>
      </c>
      <c r="J112" s="4">
        <v>7.1571043191287025</v>
      </c>
      <c r="K112" s="5051" t="str">
        <f>IF(       0.011&lt;0.01,"***",IF(       0.011&lt;0.05,"**",IF(       0.011&lt;0.1,"*","NS")))</f>
        <v>**</v>
      </c>
      <c r="L112" s="4">
        <v>65.027839228178308</v>
      </c>
      <c r="M112" s="4">
        <v>0.7324316262391678</v>
      </c>
      <c r="N112" s="5052" t="str">
        <f>IF(       0.001&lt;0.01,"***",IF(       0.001&lt;0.05,"**",IF(       0.001&lt;0.1,"*","NS")))</f>
        <v>***</v>
      </c>
      <c r="P112" s="296" t="s">
        <v>4154</v>
      </c>
      <c r="Q112" s="4">
        <v>65.626298198545513</v>
      </c>
      <c r="R112" s="4">
        <v>65.027839228178308</v>
      </c>
      <c r="S112" s="4">
        <v>-0.59845897036728091</v>
      </c>
      <c r="T112" s="5053" t="str">
        <f>IF(       0.911&lt;0.01,"***",IF(       0.911&lt;0.05,"**",IF(       0.911&lt;0.1,"*","NS")))</f>
        <v>NS</v>
      </c>
    </row>
    <row r="113" spans="1:20" x14ac:dyDescent="0.2">
      <c r="A113" s="296" t="s">
        <v>5835</v>
      </c>
      <c r="B113" s="4">
        <v>45.890934017729244</v>
      </c>
      <c r="C113" s="4">
        <v>61.307831727474529</v>
      </c>
      <c r="D113" s="4">
        <v>15.416897709745358</v>
      </c>
      <c r="E113" s="5054" t="str">
        <f>IF(       0&lt;0.01,"***",IF(       0&lt;0.05,"**",IF(       0&lt;0.1,"*","NS")))</f>
        <v>***</v>
      </c>
      <c r="G113" s="296" t="s">
        <v>5835</v>
      </c>
      <c r="H113" s="4">
        <v>45.890934017729244</v>
      </c>
      <c r="I113" s="4">
        <v>60.062664102517431</v>
      </c>
      <c r="J113" s="4">
        <v>14.171730084788377</v>
      </c>
      <c r="K113" s="5055" t="str">
        <f>IF(       0&lt;0.01,"***",IF(       0&lt;0.05,"**",IF(       0&lt;0.1,"*","NS")))</f>
        <v>***</v>
      </c>
      <c r="L113" s="4">
        <v>67.430287663432352</v>
      </c>
      <c r="M113" s="4">
        <v>21.539353645704274</v>
      </c>
      <c r="N113" s="5056" t="str">
        <f>IF(       0&lt;0.01,"***",IF(       0&lt;0.05,"**",IF(       0&lt;0.1,"*","NS")))</f>
        <v>***</v>
      </c>
      <c r="P113" s="296" t="s">
        <v>5835</v>
      </c>
      <c r="Q113" s="4">
        <v>48.615554993836987</v>
      </c>
      <c r="R113" s="4">
        <v>67.430287663432352</v>
      </c>
      <c r="S113" s="4">
        <v>18.814732669595212</v>
      </c>
      <c r="T113" s="5057" t="str">
        <f>IF(       0&lt;0.01,"***",IF(       0&lt;0.05,"**",IF(       0&lt;0.1,"*","NS")))</f>
        <v>***</v>
      </c>
    </row>
    <row r="115" spans="1:20" x14ac:dyDescent="0.2">
      <c r="A115" s="296" t="s">
        <v>5759</v>
      </c>
      <c r="G115" s="296" t="s">
        <v>5760</v>
      </c>
      <c r="P115" s="296" t="s">
        <v>5761</v>
      </c>
    </row>
    <row r="116" spans="1:20" s="3" customFormat="1" x14ac:dyDescent="0.2">
      <c r="A116" s="6612" t="s">
        <v>4069</v>
      </c>
      <c r="B116" s="6613" t="s">
        <v>4070</v>
      </c>
      <c r="C116" s="6614" t="s">
        <v>4071</v>
      </c>
      <c r="D116" s="6615" t="s">
        <v>4072</v>
      </c>
      <c r="E116" s="6616" t="s">
        <v>4073</v>
      </c>
      <c r="G116" s="6617" t="s">
        <v>4109</v>
      </c>
      <c r="H116" s="6618" t="s">
        <v>4110</v>
      </c>
      <c r="I116" s="6619" t="s">
        <v>4111</v>
      </c>
      <c r="J116" s="6620" t="s">
        <v>4112</v>
      </c>
      <c r="K116" s="6621" t="s">
        <v>4113</v>
      </c>
      <c r="L116" s="6622" t="s">
        <v>4132</v>
      </c>
      <c r="M116" s="6623" t="s">
        <v>4133</v>
      </c>
      <c r="N116" s="6624" t="s">
        <v>4134</v>
      </c>
      <c r="P116" s="6625" t="s">
        <v>4155</v>
      </c>
      <c r="Q116" s="6626" t="s">
        <v>4156</v>
      </c>
      <c r="R116" s="6627" t="s">
        <v>4157</v>
      </c>
      <c r="S116" s="6628" t="s">
        <v>4158</v>
      </c>
      <c r="T116" s="6629" t="s">
        <v>4159</v>
      </c>
    </row>
    <row r="117" spans="1:20" x14ac:dyDescent="0.2">
      <c r="A117" s="296" t="s">
        <v>4074</v>
      </c>
      <c r="B117" s="4">
        <v>63.019789155321803</v>
      </c>
      <c r="C117" s="4">
        <v>76.433127877302255</v>
      </c>
      <c r="D117" s="4">
        <v>13.413338721980407</v>
      </c>
      <c r="E117" s="5058" t="str">
        <f>IF(       0.02&lt;0.01,"***",IF(       0.02&lt;0.05,"**",IF(       0.02&lt;0.1,"*","NS")))</f>
        <v>**</v>
      </c>
      <c r="G117" s="296" t="s">
        <v>4114</v>
      </c>
      <c r="H117" s="4">
        <v>63.019789155321803</v>
      </c>
      <c r="I117" s="4">
        <v>70.476683851079173</v>
      </c>
      <c r="J117" s="4">
        <v>7.4568946957573976</v>
      </c>
      <c r="K117" s="5059" t="str">
        <f>IF(       0.201&lt;0.01,"***",IF(       0.201&lt;0.05,"**",IF(       0.201&lt;0.1,"*","NS")))</f>
        <v>NS</v>
      </c>
      <c r="L117" s="4">
        <v>88.59032917217786</v>
      </c>
      <c r="M117" s="4">
        <v>25.570540016856057</v>
      </c>
      <c r="N117" s="5060" t="str">
        <f>IF(       0&lt;0.01,"***",IF(       0&lt;0.05,"**",IF(       0&lt;0.1,"*","NS")))</f>
        <v>***</v>
      </c>
      <c r="P117" s="296" t="s">
        <v>4160</v>
      </c>
      <c r="Q117" s="4">
        <v>67.905135208355787</v>
      </c>
      <c r="R117" s="4">
        <v>88.59032917217786</v>
      </c>
      <c r="S117" s="4">
        <v>20.685193963822083</v>
      </c>
      <c r="T117" s="5061" t="str">
        <f>IF(       0&lt;0.01,"***",IF(       0&lt;0.05,"**",IF(       0&lt;0.1,"*","NS")))</f>
        <v>***</v>
      </c>
    </row>
    <row r="118" spans="1:20" x14ac:dyDescent="0.2">
      <c r="A118" s="296" t="s">
        <v>4075</v>
      </c>
      <c r="B118" s="4">
        <v>59.753901338894643</v>
      </c>
      <c r="C118" s="4">
        <v>80.470750875188784</v>
      </c>
      <c r="D118" s="4">
        <v>20.716849536294141</v>
      </c>
      <c r="E118" s="5062" t="str">
        <f>IF(       0&lt;0.01,"***",IF(       0&lt;0.05,"**",IF(       0&lt;0.1,"*","NS")))</f>
        <v>***</v>
      </c>
      <c r="G118" s="296" t="s">
        <v>4115</v>
      </c>
      <c r="H118" s="4">
        <v>59.753901338894643</v>
      </c>
      <c r="I118" s="4">
        <v>75.727160768939441</v>
      </c>
      <c r="J118" s="4">
        <v>15.973259430044804</v>
      </c>
      <c r="K118" s="5063" t="str">
        <f>IF(       0&lt;0.01,"***",IF(       0&lt;0.05,"**",IF(       0&lt;0.1,"*","NS")))</f>
        <v>***</v>
      </c>
      <c r="L118" s="4">
        <v>88.498567178547077</v>
      </c>
      <c r="M118" s="4">
        <v>28.744665839652523</v>
      </c>
      <c r="N118" s="5064" t="str">
        <f>IF(       0&lt;0.01,"***",IF(       0&lt;0.05,"**",IF(       0&lt;0.1,"*","NS")))</f>
        <v>***</v>
      </c>
      <c r="P118" s="296" t="s">
        <v>4161</v>
      </c>
      <c r="Q118" s="4">
        <v>69.39282493001447</v>
      </c>
      <c r="R118" s="4">
        <v>88.498567178547077</v>
      </c>
      <c r="S118" s="4">
        <v>19.105742248532621</v>
      </c>
      <c r="T118" s="5065" t="str">
        <f>IF(       0&lt;0.01,"***",IF(       0&lt;0.05,"**",IF(       0&lt;0.1,"*","NS")))</f>
        <v>***</v>
      </c>
    </row>
    <row r="119" spans="1:20" x14ac:dyDescent="0.2">
      <c r="A119" s="296" t="s">
        <v>4076</v>
      </c>
      <c r="B119" s="4">
        <v>65.606089162796181</v>
      </c>
      <c r="C119" s="4">
        <v>76.94601908623099</v>
      </c>
      <c r="D119" s="4">
        <v>11.339929923434799</v>
      </c>
      <c r="E119" s="5066" t="str">
        <f>IF(       0.008&lt;0.01,"***",IF(       0.008&lt;0.05,"**",IF(       0.008&lt;0.1,"*","NS")))</f>
        <v>***</v>
      </c>
      <c r="G119" s="296" t="s">
        <v>4116</v>
      </c>
      <c r="H119" s="4">
        <v>65.606089162796181</v>
      </c>
      <c r="I119" s="4">
        <v>75.848727766385011</v>
      </c>
      <c r="J119" s="4">
        <v>10.242638603588823</v>
      </c>
      <c r="K119" s="5067" t="str">
        <f>IF(       0.01&lt;0.01,"***",IF(       0.01&lt;0.05,"**",IF(       0.01&lt;0.1,"*","NS")))</f>
        <v>**</v>
      </c>
      <c r="L119" s="4">
        <v>79.39352660291344</v>
      </c>
      <c r="M119" s="4">
        <v>13.787437440117275</v>
      </c>
      <c r="N119" s="5068" t="str">
        <f>IF(       0.035&lt;0.01,"***",IF(       0.035&lt;0.05,"**",IF(       0.035&lt;0.1,"*","NS")))</f>
        <v>**</v>
      </c>
      <c r="P119" s="296" t="s">
        <v>4162</v>
      </c>
      <c r="Q119" s="4">
        <v>70.494899938037875</v>
      </c>
      <c r="R119" s="4">
        <v>79.39352660291344</v>
      </c>
      <c r="S119" s="4">
        <v>8.8986266648756018</v>
      </c>
      <c r="T119" s="5069" t="str">
        <f>IF(       0.113&lt;0.01,"***",IF(       0.113&lt;0.05,"**",IF(       0.113&lt;0.1,"*","NS")))</f>
        <v>NS</v>
      </c>
    </row>
    <row r="120" spans="1:20" x14ac:dyDescent="0.2">
      <c r="A120" s="296" t="s">
        <v>4077</v>
      </c>
      <c r="B120" s="4">
        <v>66.214166552624476</v>
      </c>
      <c r="C120" s="4">
        <v>76.001643800212918</v>
      </c>
      <c r="D120" s="4">
        <v>9.7874772475884431</v>
      </c>
      <c r="E120" s="5070" t="str">
        <f>IF(       0.013&lt;0.01,"***",IF(       0.013&lt;0.05,"**",IF(       0.013&lt;0.1,"*","NS")))</f>
        <v>**</v>
      </c>
      <c r="G120" s="296" t="s">
        <v>4117</v>
      </c>
      <c r="H120" s="4">
        <v>66.214166552624476</v>
      </c>
      <c r="I120" s="4">
        <v>72.465144614060833</v>
      </c>
      <c r="J120" s="4">
        <v>6.2509780614363537</v>
      </c>
      <c r="K120" s="5071" t="str">
        <f>IF(       0.116&lt;0.01,"***",IF(       0.116&lt;0.05,"**",IF(       0.116&lt;0.1,"*","NS")))</f>
        <v>NS</v>
      </c>
      <c r="L120" s="4">
        <v>84.234589921198292</v>
      </c>
      <c r="M120" s="4">
        <v>18.020423368573812</v>
      </c>
      <c r="N120" s="5072" t="str">
        <f>IF(       0&lt;0.01,"***",IF(       0&lt;0.05,"**",IF(       0&lt;0.1,"*","NS")))</f>
        <v>***</v>
      </c>
      <c r="P120" s="296" t="s">
        <v>4163</v>
      </c>
      <c r="Q120" s="4">
        <v>69.647888025163738</v>
      </c>
      <c r="R120" s="4">
        <v>84.234589921198292</v>
      </c>
      <c r="S120" s="4">
        <v>14.586701896034562</v>
      </c>
      <c r="T120" s="5073" t="str">
        <f>IF(       0&lt;0.01,"***",IF(       0&lt;0.05,"**",IF(       0&lt;0.1,"*","NS")))</f>
        <v>***</v>
      </c>
    </row>
    <row r="121" spans="1:20" x14ac:dyDescent="0.2">
      <c r="A121" s="296" t="s">
        <v>4078</v>
      </c>
      <c r="B121" s="4">
        <v>71.602412744028129</v>
      </c>
      <c r="C121" s="4">
        <v>79.801036587489151</v>
      </c>
      <c r="D121" s="4">
        <v>8.1986238434610161</v>
      </c>
      <c r="E121" s="5074" t="str">
        <f>IF(       0.006&lt;0.01,"***",IF(       0.006&lt;0.05,"**",IF(       0.006&lt;0.1,"*","NS")))</f>
        <v>***</v>
      </c>
      <c r="G121" s="296" t="s">
        <v>4118</v>
      </c>
      <c r="H121" s="4">
        <v>71.602412744028129</v>
      </c>
      <c r="I121" s="4">
        <v>78.002863198291806</v>
      </c>
      <c r="J121" s="4">
        <v>6.4004504542636651</v>
      </c>
      <c r="K121" s="5075" t="str">
        <f>IF(       0.045&lt;0.01,"***",IF(       0.045&lt;0.05,"**",IF(       0.045&lt;0.1,"*","NS")))</f>
        <v>**</v>
      </c>
      <c r="L121" s="4">
        <v>85.475243775666101</v>
      </c>
      <c r="M121" s="4">
        <v>13.872831031637931</v>
      </c>
      <c r="N121" s="5076" t="str">
        <f>IF(       0.003&lt;0.01,"***",IF(       0.003&lt;0.05,"**",IF(       0.003&lt;0.1,"*","NS")))</f>
        <v>***</v>
      </c>
      <c r="P121" s="296" t="s">
        <v>4164</v>
      </c>
      <c r="Q121" s="4">
        <v>75.428302805039635</v>
      </c>
      <c r="R121" s="4">
        <v>85.475243775666101</v>
      </c>
      <c r="S121" s="4">
        <v>10.04694097062646</v>
      </c>
      <c r="T121" s="5077" t="str">
        <f>IF(       0.027&lt;0.01,"***",IF(       0.027&lt;0.05,"**",IF(       0.027&lt;0.1,"*","NS")))</f>
        <v>**</v>
      </c>
    </row>
    <row r="122" spans="1:20" x14ac:dyDescent="0.2">
      <c r="A122" s="296" t="s">
        <v>4079</v>
      </c>
      <c r="B122" s="4">
        <v>53.143754200065352</v>
      </c>
      <c r="C122" s="4">
        <v>75.247475491641424</v>
      </c>
      <c r="D122" s="4">
        <v>22.103721291576022</v>
      </c>
      <c r="E122" s="5078" t="str">
        <f>IF(       0&lt;0.01,"***",IF(       0&lt;0.05,"**",IF(       0&lt;0.1,"*","NS")))</f>
        <v>***</v>
      </c>
      <c r="G122" s="296" t="s">
        <v>4119</v>
      </c>
      <c r="H122" s="4">
        <v>53.143754200065352</v>
      </c>
      <c r="I122" s="4">
        <v>70.821035723184195</v>
      </c>
      <c r="J122" s="4">
        <v>17.677281523118904</v>
      </c>
      <c r="K122" s="5079" t="str">
        <f>IF(       0.002&lt;0.01,"***",IF(       0.002&lt;0.05,"**",IF(       0.002&lt;0.1,"*","NS")))</f>
        <v>***</v>
      </c>
      <c r="L122" s="4">
        <v>84.524322259315269</v>
      </c>
      <c r="M122" s="4">
        <v>31.380568059250006</v>
      </c>
      <c r="N122" s="5080" t="str">
        <f>IF(       0&lt;0.01,"***",IF(       0&lt;0.05,"**",IF(       0&lt;0.1,"*","NS")))</f>
        <v>***</v>
      </c>
      <c r="P122" s="296" t="s">
        <v>4165</v>
      </c>
      <c r="Q122" s="4">
        <v>63.438789992609401</v>
      </c>
      <c r="R122" s="4">
        <v>84.524322259315269</v>
      </c>
      <c r="S122" s="4">
        <v>21.085532266705968</v>
      </c>
      <c r="T122" s="5081" t="str">
        <f>IF(       0&lt;0.01,"***",IF(       0&lt;0.05,"**",IF(       0&lt;0.1,"*","NS")))</f>
        <v>***</v>
      </c>
    </row>
    <row r="123" spans="1:20" x14ac:dyDescent="0.2">
      <c r="A123" s="296" t="s">
        <v>4080</v>
      </c>
      <c r="B123" s="4" t="s">
        <v>6067</v>
      </c>
      <c r="C123" s="4" t="s">
        <v>6067</v>
      </c>
      <c r="D123" s="4" t="s">
        <v>6067</v>
      </c>
      <c r="E123" s="4" t="s">
        <v>6067</v>
      </c>
      <c r="G123" s="296" t="s">
        <v>4120</v>
      </c>
      <c r="H123" s="4" t="s">
        <v>6067</v>
      </c>
      <c r="I123" s="4" t="s">
        <v>6067</v>
      </c>
      <c r="J123" s="4" t="s">
        <v>6067</v>
      </c>
      <c r="K123" s="4" t="s">
        <v>6067</v>
      </c>
      <c r="L123" s="4" t="s">
        <v>6067</v>
      </c>
      <c r="M123" s="4" t="s">
        <v>6067</v>
      </c>
      <c r="N123" s="4" t="s">
        <v>6067</v>
      </c>
      <c r="P123" s="296" t="s">
        <v>4166</v>
      </c>
      <c r="Q123" s="4" t="s">
        <v>6067</v>
      </c>
      <c r="R123" s="4" t="s">
        <v>6067</v>
      </c>
      <c r="S123" s="4" t="s">
        <v>6067</v>
      </c>
      <c r="T123" s="4" t="s">
        <v>6067</v>
      </c>
    </row>
    <row r="124" spans="1:20" x14ac:dyDescent="0.2">
      <c r="A124" s="296" t="s">
        <v>4081</v>
      </c>
      <c r="B124" s="4">
        <v>92.647880701395962</v>
      </c>
      <c r="C124" s="4">
        <v>93.555713660632463</v>
      </c>
      <c r="D124" s="4">
        <v>0.90783295923649987</v>
      </c>
      <c r="E124" s="5082" t="str">
        <f>IF(       0.633&lt;0.01,"***",IF(       0.633&lt;0.05,"**",IF(       0.633&lt;0.1,"*","NS")))</f>
        <v>NS</v>
      </c>
      <c r="G124" s="296" t="s">
        <v>4121</v>
      </c>
      <c r="H124" s="4">
        <v>92.647880701395962</v>
      </c>
      <c r="I124" s="4">
        <v>92.848794183433228</v>
      </c>
      <c r="J124" s="4">
        <v>0.20091348203726939</v>
      </c>
      <c r="K124" s="5083" t="str">
        <f>IF(       0.918&lt;0.01,"***",IF(       0.918&lt;0.05,"**",IF(       0.918&lt;0.1,"*","NS")))</f>
        <v>NS</v>
      </c>
      <c r="L124" s="4">
        <v>95.410793619379419</v>
      </c>
      <c r="M124" s="4">
        <v>2.7629129179834577</v>
      </c>
      <c r="N124" s="5084" t="str">
        <f>IF(       0.297&lt;0.01,"***",IF(       0.297&lt;0.05,"**",IF(       0.297&lt;0.1,"*","NS")))</f>
        <v>NS</v>
      </c>
      <c r="P124" s="296" t="s">
        <v>4167</v>
      </c>
      <c r="Q124" s="4">
        <v>92.730944208239791</v>
      </c>
      <c r="R124" s="4">
        <v>95.410793619379419</v>
      </c>
      <c r="S124" s="4">
        <v>2.6798494111396174</v>
      </c>
      <c r="T124" s="5085" t="str">
        <f>IF(       0.245&lt;0.01,"***",IF(       0.245&lt;0.05,"**",IF(       0.245&lt;0.1,"*","NS")))</f>
        <v>NS</v>
      </c>
    </row>
    <row r="125" spans="1:20" x14ac:dyDescent="0.2">
      <c r="A125" s="296" t="s">
        <v>4082</v>
      </c>
      <c r="B125" s="4">
        <v>61.032964541526312</v>
      </c>
      <c r="C125" s="4">
        <v>76.663326082047703</v>
      </c>
      <c r="D125" s="4">
        <v>15.630361540521376</v>
      </c>
      <c r="E125" s="5086" t="str">
        <f>IF(       0.008&lt;0.01,"***",IF(       0.008&lt;0.05,"**",IF(       0.008&lt;0.1,"*","NS")))</f>
        <v>***</v>
      </c>
      <c r="G125" s="296" t="s">
        <v>4122</v>
      </c>
      <c r="H125" s="4">
        <v>61.032964541526312</v>
      </c>
      <c r="I125" s="4">
        <v>69.874466125048272</v>
      </c>
      <c r="J125" s="4">
        <v>8.8415015835219553</v>
      </c>
      <c r="K125" s="5087" t="str">
        <f>IF(       0.105&lt;0.01,"***",IF(       0.105&lt;0.05,"**",IF(       0.105&lt;0.1,"*","NS")))</f>
        <v>NS</v>
      </c>
      <c r="L125" s="4">
        <v>84.001323299045907</v>
      </c>
      <c r="M125" s="4">
        <v>22.968358757519578</v>
      </c>
      <c r="N125" s="5088" t="str">
        <f>IF(       0.002&lt;0.01,"***",IF(       0.002&lt;0.05,"**",IF(       0.002&lt;0.1,"*","NS")))</f>
        <v>***</v>
      </c>
      <c r="P125" s="296" t="s">
        <v>4168</v>
      </c>
      <c r="Q125" s="4">
        <v>66.940847326324644</v>
      </c>
      <c r="R125" s="4">
        <v>84.001323299045907</v>
      </c>
      <c r="S125" s="4">
        <v>17.060475972721306</v>
      </c>
      <c r="T125" s="5089" t="str">
        <f>IF(       0.001&lt;0.01,"***",IF(       0.001&lt;0.05,"**",IF(       0.001&lt;0.1,"*","NS")))</f>
        <v>***</v>
      </c>
    </row>
    <row r="126" spans="1:20" x14ac:dyDescent="0.2">
      <c r="A126" s="296" t="s">
        <v>4083</v>
      </c>
      <c r="B126" s="4">
        <v>63.300307939860133</v>
      </c>
      <c r="C126" s="4">
        <v>77.898894055692097</v>
      </c>
      <c r="D126" s="4">
        <v>14.598586115831983</v>
      </c>
      <c r="E126" s="5090" t="str">
        <f>IF(       0&lt;0.01,"***",IF(       0&lt;0.05,"**",IF(       0&lt;0.1,"*","NS")))</f>
        <v>***</v>
      </c>
      <c r="G126" s="296" t="s">
        <v>4123</v>
      </c>
      <c r="H126" s="4">
        <v>63.300307939860133</v>
      </c>
      <c r="I126" s="4">
        <v>74.508359462655775</v>
      </c>
      <c r="J126" s="4">
        <v>11.208051522795609</v>
      </c>
      <c r="K126" s="5091" t="str">
        <f>IF(       0.016&lt;0.01,"***",IF(       0.016&lt;0.05,"**",IF(       0.016&lt;0.1,"*","NS")))</f>
        <v>**</v>
      </c>
      <c r="L126" s="4">
        <v>83.67642135493422</v>
      </c>
      <c r="M126" s="4">
        <v>20.376113415074141</v>
      </c>
      <c r="N126" s="5092" t="str">
        <f>IF(       0&lt;0.01,"***",IF(       0&lt;0.05,"**",IF(       0&lt;0.1,"*","NS")))</f>
        <v>***</v>
      </c>
      <c r="P126" s="296" t="s">
        <v>4169</v>
      </c>
      <c r="Q126" s="4">
        <v>70.785371155754518</v>
      </c>
      <c r="R126" s="4">
        <v>83.67642135493422</v>
      </c>
      <c r="S126" s="4">
        <v>12.89105019917967</v>
      </c>
      <c r="T126" s="5093" t="str">
        <f>IF(       0.001&lt;0.01,"***",IF(       0.001&lt;0.05,"**",IF(       0.001&lt;0.1,"*","NS")))</f>
        <v>***</v>
      </c>
    </row>
    <row r="127" spans="1:20" x14ac:dyDescent="0.2">
      <c r="A127" s="296" t="s">
        <v>4084</v>
      </c>
      <c r="B127" s="4">
        <v>50.932457098646083</v>
      </c>
      <c r="C127" s="4">
        <v>74.4914358289669</v>
      </c>
      <c r="D127" s="4">
        <v>23.558978730320781</v>
      </c>
      <c r="E127" s="5094" t="str">
        <f>IF(       0&lt;0.01,"***",IF(       0&lt;0.05,"**",IF(       0&lt;0.1,"*","NS")))</f>
        <v>***</v>
      </c>
      <c r="G127" s="296" t="s">
        <v>4124</v>
      </c>
      <c r="H127" s="4">
        <v>50.932457098646083</v>
      </c>
      <c r="I127" s="4">
        <v>71.580608823269841</v>
      </c>
      <c r="J127" s="4">
        <v>20.648151724623734</v>
      </c>
      <c r="K127" s="5095" t="str">
        <f>IF(       0&lt;0.01,"***",IF(       0&lt;0.05,"**",IF(       0&lt;0.1,"*","NS")))</f>
        <v>***</v>
      </c>
      <c r="L127" s="4">
        <v>80.615857482826144</v>
      </c>
      <c r="M127" s="4">
        <v>29.683400384180047</v>
      </c>
      <c r="N127" s="5096" t="str">
        <f>IF(       0&lt;0.01,"***",IF(       0&lt;0.05,"**",IF(       0&lt;0.1,"*","NS")))</f>
        <v>***</v>
      </c>
      <c r="P127" s="296" t="s">
        <v>4170</v>
      </c>
      <c r="Q127" s="4">
        <v>63.094970422402739</v>
      </c>
      <c r="R127" s="4">
        <v>80.615857482826144</v>
      </c>
      <c r="S127" s="4">
        <v>17.520887060423327</v>
      </c>
      <c r="T127" s="5097" t="str">
        <f>IF(       0&lt;0.01,"***",IF(       0&lt;0.05,"**",IF(       0&lt;0.1,"*","NS")))</f>
        <v>***</v>
      </c>
    </row>
    <row r="128" spans="1:20" x14ac:dyDescent="0.2">
      <c r="A128" s="296" t="s">
        <v>4085</v>
      </c>
      <c r="B128" s="4">
        <v>43.479151785089734</v>
      </c>
      <c r="C128" s="4">
        <v>66.497200534945364</v>
      </c>
      <c r="D128" s="4">
        <v>23.01804874985546</v>
      </c>
      <c r="E128" s="5098" t="str">
        <f>IF(       0&lt;0.01,"***",IF(       0&lt;0.05,"**",IF(       0&lt;0.1,"*","NS")))</f>
        <v>***</v>
      </c>
      <c r="G128" s="296" t="s">
        <v>4125</v>
      </c>
      <c r="H128" s="4">
        <v>43.479151785089734</v>
      </c>
      <c r="I128" s="4">
        <v>58.543755196497017</v>
      </c>
      <c r="J128" s="4">
        <v>15.06460341140731</v>
      </c>
      <c r="K128" s="5099" t="str">
        <f>IF(       0.001&lt;0.01,"***",IF(       0.001&lt;0.05,"**",IF(       0.001&lt;0.1,"*","NS")))</f>
        <v>***</v>
      </c>
      <c r="L128" s="4">
        <v>81.202802228893674</v>
      </c>
      <c r="M128" s="4">
        <v>37.723650443803926</v>
      </c>
      <c r="N128" s="5100" t="str">
        <f>IF(       0&lt;0.01,"***",IF(       0&lt;0.05,"**",IF(       0&lt;0.1,"*","NS")))</f>
        <v>***</v>
      </c>
      <c r="P128" s="296" t="s">
        <v>4171</v>
      </c>
      <c r="Q128" s="4">
        <v>52.014956051766717</v>
      </c>
      <c r="R128" s="4">
        <v>81.202802228893674</v>
      </c>
      <c r="S128" s="4">
        <v>29.187846177126957</v>
      </c>
      <c r="T128" s="5101" t="str">
        <f>IF(       0&lt;0.01,"***",IF(       0&lt;0.05,"**",IF(       0&lt;0.1,"*","NS")))</f>
        <v>***</v>
      </c>
    </row>
    <row r="129" spans="1:20" x14ac:dyDescent="0.2">
      <c r="A129" s="296" t="s">
        <v>4086</v>
      </c>
      <c r="B129" s="4">
        <v>69.281457015821346</v>
      </c>
      <c r="C129" s="4">
        <v>78.099679257415289</v>
      </c>
      <c r="D129" s="4">
        <v>8.8182222415939524</v>
      </c>
      <c r="E129" s="5102" t="str">
        <f>IF(       0.006&lt;0.01,"***",IF(       0.006&lt;0.05,"**",IF(       0.006&lt;0.1,"*","NS")))</f>
        <v>***</v>
      </c>
      <c r="G129" s="296" t="s">
        <v>4126</v>
      </c>
      <c r="H129" s="4">
        <v>69.281457015821346</v>
      </c>
      <c r="I129" s="4">
        <v>75.382398198505498</v>
      </c>
      <c r="J129" s="4">
        <v>6.1009411826841715</v>
      </c>
      <c r="K129" s="5103" t="str">
        <f>IF(       0.051&lt;0.01,"***",IF(       0.051&lt;0.05,"**",IF(       0.051&lt;0.1,"*","NS")))</f>
        <v>*</v>
      </c>
      <c r="L129" s="4">
        <v>85.150076677471063</v>
      </c>
      <c r="M129" s="4">
        <v>15.868619661649715</v>
      </c>
      <c r="N129" s="5104" t="str">
        <f>IF(       0.003&lt;0.01,"***",IF(       0.003&lt;0.05,"**",IF(       0.003&lt;0.1,"*","NS")))</f>
        <v>***</v>
      </c>
      <c r="P129" s="296" t="s">
        <v>4172</v>
      </c>
      <c r="Q129" s="4">
        <v>72.522072761639151</v>
      </c>
      <c r="R129" s="4">
        <v>85.150076677471063</v>
      </c>
      <c r="S129" s="4">
        <v>12.62800391583191</v>
      </c>
      <c r="T129" s="5105" t="str">
        <f>IF(       0.009&lt;0.01,"***",IF(       0.009&lt;0.05,"**",IF(       0.009&lt;0.1,"*","NS")))</f>
        <v>***</v>
      </c>
    </row>
    <row r="130" spans="1:20" x14ac:dyDescent="0.2">
      <c r="A130" s="296" t="s">
        <v>4087</v>
      </c>
      <c r="B130" s="4">
        <v>67.982408505747159</v>
      </c>
      <c r="C130" s="4">
        <v>81.114645214555978</v>
      </c>
      <c r="D130" s="4">
        <v>13.132236708808732</v>
      </c>
      <c r="E130" s="5106" t="str">
        <f>IF(       0.002&lt;0.01,"***",IF(       0.002&lt;0.05,"**",IF(       0.002&lt;0.1,"*","NS")))</f>
        <v>***</v>
      </c>
      <c r="G130" s="296" t="s">
        <v>4127</v>
      </c>
      <c r="H130" s="4">
        <v>67.982408505747159</v>
      </c>
      <c r="I130" s="4">
        <v>76.231217934151317</v>
      </c>
      <c r="J130" s="4">
        <v>8.2488094284041384</v>
      </c>
      <c r="K130" s="5107" t="str">
        <f>IF(       0.041&lt;0.01,"***",IF(       0.041&lt;0.05,"**",IF(       0.041&lt;0.1,"*","NS")))</f>
        <v>**</v>
      </c>
      <c r="L130" s="4">
        <v>87.092620267377455</v>
      </c>
      <c r="M130" s="4">
        <v>19.110211761630268</v>
      </c>
      <c r="N130" s="5108" t="str">
        <f>IF(       0&lt;0.01,"***",IF(       0&lt;0.05,"**",IF(       0&lt;0.1,"*","NS")))</f>
        <v>***</v>
      </c>
      <c r="P130" s="296" t="s">
        <v>4173</v>
      </c>
      <c r="Q130" s="4">
        <v>73.247390649603489</v>
      </c>
      <c r="R130" s="4">
        <v>87.092620267377455</v>
      </c>
      <c r="S130" s="4">
        <v>13.845229617773873</v>
      </c>
      <c r="T130" s="5109" t="str">
        <f>IF(       0&lt;0.01,"***",IF(       0&lt;0.05,"**",IF(       0&lt;0.1,"*","NS")))</f>
        <v>***</v>
      </c>
    </row>
    <row r="131" spans="1:20" x14ac:dyDescent="0.2">
      <c r="A131" s="296" t="s">
        <v>4088</v>
      </c>
      <c r="B131" s="4">
        <v>74.365649668388215</v>
      </c>
      <c r="C131" s="4">
        <v>79.442053509262806</v>
      </c>
      <c r="D131" s="4">
        <v>5.0764038408745753</v>
      </c>
      <c r="E131" s="5110" t="str">
        <f>IF(       0.073&lt;0.01,"***",IF(       0.073&lt;0.05,"**",IF(       0.073&lt;0.1,"*","NS")))</f>
        <v>*</v>
      </c>
      <c r="G131" s="296" t="s">
        <v>4128</v>
      </c>
      <c r="H131" s="4">
        <v>74.365649668388215</v>
      </c>
      <c r="I131" s="4">
        <v>78.882713150870146</v>
      </c>
      <c r="J131" s="4">
        <v>4.5170634824819196</v>
      </c>
      <c r="K131" s="5111" t="str">
        <f>IF(       0.186&lt;0.01,"***",IF(       0.186&lt;0.05,"**",IF(       0.186&lt;0.1,"*","NS")))</f>
        <v>NS</v>
      </c>
      <c r="L131" s="4">
        <v>80.554150975630506</v>
      </c>
      <c r="M131" s="4">
        <v>6.1885013072422863</v>
      </c>
      <c r="N131" s="5112" t="str">
        <f>IF(       0.075&lt;0.01,"***",IF(       0.075&lt;0.05,"**",IF(       0.075&lt;0.1,"*","NS")))</f>
        <v>*</v>
      </c>
      <c r="P131" s="296" t="s">
        <v>4174</v>
      </c>
      <c r="Q131" s="4">
        <v>76.764652934057722</v>
      </c>
      <c r="R131" s="4">
        <v>80.554150975630506</v>
      </c>
      <c r="S131" s="4">
        <v>3.7894980415727741</v>
      </c>
      <c r="T131" s="5113" t="str">
        <f>IF(       0.262&lt;0.01,"***",IF(       0.262&lt;0.05,"**",IF(       0.262&lt;0.1,"*","NS")))</f>
        <v>NS</v>
      </c>
    </row>
    <row r="132" spans="1:20" x14ac:dyDescent="0.2">
      <c r="A132" s="296" t="s">
        <v>5835</v>
      </c>
      <c r="B132" s="4">
        <v>60.304657495907492</v>
      </c>
      <c r="C132" s="4">
        <v>75.964593762164228</v>
      </c>
      <c r="D132" s="4">
        <v>15.659936266257132</v>
      </c>
      <c r="E132" s="5114" t="str">
        <f>IF(       0&lt;0.01,"***",IF(       0&lt;0.05,"**",IF(       0&lt;0.1,"*","NS")))</f>
        <v>***</v>
      </c>
      <c r="G132" s="296" t="s">
        <v>5835</v>
      </c>
      <c r="H132" s="4">
        <v>60.304657495907492</v>
      </c>
      <c r="I132" s="4">
        <v>71.798855830104941</v>
      </c>
      <c r="J132" s="4">
        <v>11.494198334197616</v>
      </c>
      <c r="K132" s="5115" t="str">
        <f>IF(       0&lt;0.01,"***",IF(       0&lt;0.05,"**",IF(       0&lt;0.1,"*","NS")))</f>
        <v>***</v>
      </c>
      <c r="L132" s="4">
        <v>83.994275352332181</v>
      </c>
      <c r="M132" s="4">
        <v>23.68961785642481</v>
      </c>
      <c r="N132" s="5116" t="str">
        <f>IF(       0&lt;0.01,"***",IF(       0&lt;0.05,"**",IF(       0&lt;0.1,"*","NS")))</f>
        <v>***</v>
      </c>
      <c r="P132" s="296" t="s">
        <v>5835</v>
      </c>
      <c r="Q132" s="4">
        <v>66.868000957658481</v>
      </c>
      <c r="R132" s="4">
        <v>83.994275352332181</v>
      </c>
      <c r="S132" s="4">
        <v>17.126274394673597</v>
      </c>
      <c r="T132" s="5117" t="str">
        <f>IF(       0&lt;0.01,"***",IF(       0&lt;0.05,"**",IF(       0&lt;0.1,"*","NS")))</f>
        <v>***</v>
      </c>
    </row>
  </sheetData>
  <pageMargins left="0.7" right="0.7" top="0.75" bottom="0.75" header="0.3" footer="0.3"/>
  <tableParts count="21">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132"/>
  <sheetViews>
    <sheetView zoomScaleNormal="100" workbookViewId="0">
      <selection activeCell="D14" sqref="D14"/>
    </sheetView>
  </sheetViews>
  <sheetFormatPr baseColWidth="10" defaultColWidth="8.83203125" defaultRowHeight="15" x14ac:dyDescent="0.2"/>
  <cols>
    <col min="1" max="1" width="9.33203125" style="296" customWidth="1"/>
    <col min="2" max="5" width="15.83203125" style="4" customWidth="1"/>
    <col min="6" max="6" width="8.83203125" style="4"/>
    <col min="7" max="7" width="15.83203125" style="296" customWidth="1"/>
    <col min="8" max="14" width="15.83203125" style="4" customWidth="1"/>
    <col min="15" max="15" width="8.83203125" style="4"/>
    <col min="16" max="16" width="15.83203125" style="296" customWidth="1"/>
    <col min="17" max="20" width="15.83203125" style="4" customWidth="1"/>
    <col min="21" max="16384" width="8.83203125" style="4"/>
  </cols>
  <sheetData>
    <row r="1" spans="1:20" x14ac:dyDescent="0.2">
      <c r="A1" s="296" t="s">
        <v>654</v>
      </c>
      <c r="G1" s="296" t="s">
        <v>758</v>
      </c>
      <c r="P1" s="296" t="s">
        <v>877</v>
      </c>
    </row>
    <row r="2" spans="1:20" s="3" customFormat="1" x14ac:dyDescent="0.2">
      <c r="A2" s="6378" t="s">
        <v>655</v>
      </c>
      <c r="B2" s="6379" t="s">
        <v>656</v>
      </c>
      <c r="C2" s="6380" t="s">
        <v>657</v>
      </c>
      <c r="D2" s="6381" t="s">
        <v>658</v>
      </c>
      <c r="E2" s="6382" t="s">
        <v>659</v>
      </c>
      <c r="G2" s="6383" t="s">
        <v>759</v>
      </c>
      <c r="H2" s="6384" t="s">
        <v>760</v>
      </c>
      <c r="I2" s="6385" t="s">
        <v>761</v>
      </c>
      <c r="J2" s="6386" t="s">
        <v>762</v>
      </c>
      <c r="K2" s="6387" t="s">
        <v>763</v>
      </c>
      <c r="L2" s="6388" t="s">
        <v>862</v>
      </c>
      <c r="M2" s="6389" t="s">
        <v>863</v>
      </c>
      <c r="N2" s="6390" t="s">
        <v>864</v>
      </c>
      <c r="P2" s="6391" t="s">
        <v>878</v>
      </c>
      <c r="Q2" s="6392" t="s">
        <v>879</v>
      </c>
      <c r="R2" s="6393" t="s">
        <v>880</v>
      </c>
      <c r="S2" s="6394" t="s">
        <v>881</v>
      </c>
      <c r="T2" s="6395" t="s">
        <v>882</v>
      </c>
    </row>
    <row r="3" spans="1:20" x14ac:dyDescent="0.2">
      <c r="A3" s="296" t="s">
        <v>660</v>
      </c>
      <c r="B3" s="4">
        <v>34.99399732463079</v>
      </c>
      <c r="C3" s="4">
        <v>24.15698813156099</v>
      </c>
      <c r="D3" s="4">
        <v>-10.837009193069692</v>
      </c>
      <c r="E3" s="4350" t="str">
        <f t="shared" ref="E3:E8" si="0">IF(       0&lt;0.01,"***",IF(       0&lt;0.05,"**",IF(       0&lt;0.1,"*","NS")))</f>
        <v>***</v>
      </c>
      <c r="G3" s="296" t="s">
        <v>764</v>
      </c>
      <c r="H3" s="4">
        <v>34.99399732463079</v>
      </c>
      <c r="I3" s="4">
        <v>26.87676559990804</v>
      </c>
      <c r="J3" s="4">
        <v>-8.1172317247227213</v>
      </c>
      <c r="K3" s="4351" t="str">
        <f t="shared" ref="K3:K8" si="1">IF(       0&lt;0.01,"***",IF(       0&lt;0.05,"**",IF(       0&lt;0.1,"*","NS")))</f>
        <v>***</v>
      </c>
      <c r="L3" s="4">
        <v>13.547496336599179</v>
      </c>
      <c r="M3" s="4">
        <v>-21.446500988031804</v>
      </c>
      <c r="N3" s="4352" t="str">
        <f t="shared" ref="N3:N8" si="2">IF(       0&lt;0.01,"***",IF(       0&lt;0.05,"**",IF(       0&lt;0.1,"*","NS")))</f>
        <v>***</v>
      </c>
      <c r="P3" s="296" t="s">
        <v>883</v>
      </c>
      <c r="Q3" s="4">
        <v>32.086668152135623</v>
      </c>
      <c r="R3" s="4">
        <v>13.547496336599179</v>
      </c>
      <c r="S3" s="4">
        <v>-18.539171815536399</v>
      </c>
      <c r="T3" s="4353" t="str">
        <f t="shared" ref="T3:T8" si="3">IF(       0&lt;0.01,"***",IF(       0&lt;0.05,"**",IF(       0&lt;0.1,"*","NS")))</f>
        <v>***</v>
      </c>
    </row>
    <row r="4" spans="1:20" x14ac:dyDescent="0.2">
      <c r="A4" s="296" t="s">
        <v>661</v>
      </c>
      <c r="B4" s="4">
        <v>40.856219233976788</v>
      </c>
      <c r="C4" s="4">
        <v>21.88201305720904</v>
      </c>
      <c r="D4" s="4">
        <v>-18.974206176767805</v>
      </c>
      <c r="E4" s="4354" t="str">
        <f t="shared" si="0"/>
        <v>***</v>
      </c>
      <c r="G4" s="296" t="s">
        <v>765</v>
      </c>
      <c r="H4" s="4">
        <v>40.856219233976788</v>
      </c>
      <c r="I4" s="4">
        <v>24.901878587343099</v>
      </c>
      <c r="J4" s="4">
        <v>-15.954340646633721</v>
      </c>
      <c r="K4" s="4355" t="str">
        <f t="shared" si="1"/>
        <v>***</v>
      </c>
      <c r="L4" s="4">
        <v>13.965483720137589</v>
      </c>
      <c r="M4" s="4">
        <v>-26.890735513839115</v>
      </c>
      <c r="N4" s="4356" t="str">
        <f t="shared" si="2"/>
        <v>***</v>
      </c>
      <c r="P4" s="296" t="s">
        <v>884</v>
      </c>
      <c r="Q4" s="4">
        <v>36.245240849903112</v>
      </c>
      <c r="R4" s="4">
        <v>13.965483720137589</v>
      </c>
      <c r="S4" s="4">
        <v>-22.279757129765798</v>
      </c>
      <c r="T4" s="4357" t="str">
        <f t="shared" si="3"/>
        <v>***</v>
      </c>
    </row>
    <row r="5" spans="1:20" x14ac:dyDescent="0.2">
      <c r="A5" s="296" t="s">
        <v>662</v>
      </c>
      <c r="B5" s="4">
        <v>39.709148721334721</v>
      </c>
      <c r="C5" s="4">
        <v>24.58126661807627</v>
      </c>
      <c r="D5" s="4">
        <v>-15.127882103258544</v>
      </c>
      <c r="E5" s="4358" t="str">
        <f t="shared" si="0"/>
        <v>***</v>
      </c>
      <c r="G5" s="296" t="s">
        <v>766</v>
      </c>
      <c r="H5" s="4">
        <v>39.709148721334721</v>
      </c>
      <c r="I5" s="4">
        <v>26.056892346774941</v>
      </c>
      <c r="J5" s="4">
        <v>-13.652256374559817</v>
      </c>
      <c r="K5" s="4359" t="str">
        <f t="shared" si="1"/>
        <v>***</v>
      </c>
      <c r="L5" s="4">
        <v>20.15884757412444</v>
      </c>
      <c r="M5" s="4">
        <v>-19.550301147210615</v>
      </c>
      <c r="N5" s="4360" t="str">
        <f t="shared" si="2"/>
        <v>***</v>
      </c>
      <c r="P5" s="296" t="s">
        <v>885</v>
      </c>
      <c r="Q5" s="4">
        <v>36.486049130201529</v>
      </c>
      <c r="R5" s="4">
        <v>20.15884757412444</v>
      </c>
      <c r="S5" s="4">
        <v>-16.327201556077032</v>
      </c>
      <c r="T5" s="4361" t="str">
        <f t="shared" si="3"/>
        <v>***</v>
      </c>
    </row>
    <row r="6" spans="1:20" x14ac:dyDescent="0.2">
      <c r="A6" s="296" t="s">
        <v>663</v>
      </c>
      <c r="B6" s="4">
        <v>36.119858373376807</v>
      </c>
      <c r="C6" s="4">
        <v>24.146591708785468</v>
      </c>
      <c r="D6" s="4">
        <v>-11.973266664591128</v>
      </c>
      <c r="E6" s="4362" t="str">
        <f t="shared" si="0"/>
        <v>***</v>
      </c>
      <c r="G6" s="296" t="s">
        <v>767</v>
      </c>
      <c r="H6" s="4">
        <v>36.119858373376807</v>
      </c>
      <c r="I6" s="4">
        <v>26.217257150250958</v>
      </c>
      <c r="J6" s="4">
        <v>-9.9026012231258651</v>
      </c>
      <c r="K6" s="4363" t="str">
        <f t="shared" si="1"/>
        <v>***</v>
      </c>
      <c r="L6" s="4">
        <v>16.300858462164459</v>
      </c>
      <c r="M6" s="4">
        <v>-19.818999911212554</v>
      </c>
      <c r="N6" s="4364" t="str">
        <f t="shared" si="2"/>
        <v>***</v>
      </c>
      <c r="P6" s="296" t="s">
        <v>886</v>
      </c>
      <c r="Q6" s="4">
        <v>33.22585270391518</v>
      </c>
      <c r="R6" s="4">
        <v>16.300858462164459</v>
      </c>
      <c r="S6" s="4">
        <v>-16.924994241750728</v>
      </c>
      <c r="T6" s="4365" t="str">
        <f t="shared" si="3"/>
        <v>***</v>
      </c>
    </row>
    <row r="7" spans="1:20" x14ac:dyDescent="0.2">
      <c r="A7" s="296" t="s">
        <v>664</v>
      </c>
      <c r="B7" s="4">
        <v>31.593475467173029</v>
      </c>
      <c r="C7" s="4">
        <v>20.187905659314531</v>
      </c>
      <c r="D7" s="4">
        <v>-11.405569807858438</v>
      </c>
      <c r="E7" s="4366" t="str">
        <f t="shared" si="0"/>
        <v>***</v>
      </c>
      <c r="G7" s="296" t="s">
        <v>768</v>
      </c>
      <c r="H7" s="4">
        <v>31.593475467173029</v>
      </c>
      <c r="I7" s="4">
        <v>21.931617342941571</v>
      </c>
      <c r="J7" s="4">
        <v>-9.6618581242314896</v>
      </c>
      <c r="K7" s="4367" t="str">
        <f t="shared" si="1"/>
        <v>***</v>
      </c>
      <c r="L7" s="4">
        <v>11.808710840079851</v>
      </c>
      <c r="M7" s="4">
        <v>-19.784764627093129</v>
      </c>
      <c r="N7" s="4368" t="str">
        <f t="shared" si="2"/>
        <v>***</v>
      </c>
      <c r="P7" s="296" t="s">
        <v>887</v>
      </c>
      <c r="Q7" s="4">
        <v>29.030326323844459</v>
      </c>
      <c r="R7" s="4">
        <v>11.808710840079851</v>
      </c>
      <c r="S7" s="4">
        <v>-17.221615483764495</v>
      </c>
      <c r="T7" s="4369" t="str">
        <f t="shared" si="3"/>
        <v>***</v>
      </c>
    </row>
    <row r="8" spans="1:20" x14ac:dyDescent="0.2">
      <c r="A8" s="296" t="s">
        <v>665</v>
      </c>
      <c r="B8" s="4">
        <v>47.001014020642273</v>
      </c>
      <c r="C8" s="4">
        <v>30.52053346439007</v>
      </c>
      <c r="D8" s="4">
        <v>-16.480480556252086</v>
      </c>
      <c r="E8" s="4370" t="str">
        <f t="shared" si="0"/>
        <v>***</v>
      </c>
      <c r="G8" s="296" t="s">
        <v>769</v>
      </c>
      <c r="H8" s="4">
        <v>47.001014020642273</v>
      </c>
      <c r="I8" s="4">
        <v>33.091940415034799</v>
      </c>
      <c r="J8" s="4">
        <v>-13.909073605607425</v>
      </c>
      <c r="K8" s="4371" t="str">
        <f t="shared" si="1"/>
        <v>***</v>
      </c>
      <c r="L8" s="4">
        <v>22.441137269049101</v>
      </c>
      <c r="M8" s="4">
        <v>-24.55987675159334</v>
      </c>
      <c r="N8" s="4372" t="str">
        <f t="shared" si="2"/>
        <v>***</v>
      </c>
      <c r="P8" s="296" t="s">
        <v>888</v>
      </c>
      <c r="Q8" s="4">
        <v>43.086605790963418</v>
      </c>
      <c r="R8" s="4">
        <v>22.441137269049101</v>
      </c>
      <c r="S8" s="4">
        <v>-20.645468521915021</v>
      </c>
      <c r="T8" s="4373" t="str">
        <f t="shared" si="3"/>
        <v>***</v>
      </c>
    </row>
    <row r="9" spans="1:20" x14ac:dyDescent="0.2">
      <c r="A9" s="296" t="s">
        <v>666</v>
      </c>
      <c r="B9" s="4">
        <v>49.484088831604602</v>
      </c>
      <c r="C9" s="4">
        <v>43.35926992324503</v>
      </c>
      <c r="D9" s="4">
        <v>-6.1248189083594413</v>
      </c>
      <c r="E9" s="4374" t="str">
        <f>IF(       0.031&lt;0.01,"***",IF(       0.031&lt;0.05,"**",IF(       0.031&lt;0.1,"*","NS")))</f>
        <v>**</v>
      </c>
      <c r="G9" s="296" t="s">
        <v>770</v>
      </c>
      <c r="H9" s="4">
        <v>49.484088831604602</v>
      </c>
      <c r="I9" s="4">
        <v>44.919311145124148</v>
      </c>
      <c r="J9" s="4">
        <v>-4.5647776864804746</v>
      </c>
      <c r="K9" s="4375" t="str">
        <f>IF(       0.17&lt;0.01,"***",IF(       0.17&lt;0.05,"**",IF(       0.17&lt;0.1,"*","NS")))</f>
        <v>NS</v>
      </c>
      <c r="L9" s="4">
        <v>35.999555263679717</v>
      </c>
      <c r="M9" s="4">
        <v>-13.484533567924663</v>
      </c>
      <c r="N9" s="4376" t="str">
        <f>IF(       0.015&lt;0.01,"***",IF(       0.015&lt;0.05,"**",IF(       0.015&lt;0.1,"*","NS")))</f>
        <v>**</v>
      </c>
      <c r="P9" s="296" t="s">
        <v>889</v>
      </c>
      <c r="Q9" s="4">
        <v>48.800677669869792</v>
      </c>
      <c r="R9" s="4">
        <v>35.999555263679717</v>
      </c>
      <c r="S9" s="4">
        <v>-12.801122406190313</v>
      </c>
      <c r="T9" s="4377" t="str">
        <f>IF(       0.023&lt;0.01,"***",IF(       0.023&lt;0.05,"**",IF(       0.023&lt;0.1,"*","NS")))</f>
        <v>**</v>
      </c>
    </row>
    <row r="10" spans="1:20" x14ac:dyDescent="0.2">
      <c r="A10" s="296" t="s">
        <v>667</v>
      </c>
      <c r="B10" s="4">
        <v>11.69408905408465</v>
      </c>
      <c r="C10" s="4">
        <v>6.4638586651026957</v>
      </c>
      <c r="D10" s="4">
        <v>-5.2302303889819521</v>
      </c>
      <c r="E10" s="4378" t="str">
        <f t="shared" ref="E10:E16" si="4">IF(       0&lt;0.01,"***",IF(       0&lt;0.05,"**",IF(       0&lt;0.1,"*","NS")))</f>
        <v>***</v>
      </c>
      <c r="G10" s="296" t="s">
        <v>771</v>
      </c>
      <c r="H10" s="4">
        <v>11.69408905408465</v>
      </c>
      <c r="I10" s="4">
        <v>6.8735267628891146</v>
      </c>
      <c r="J10" s="4">
        <v>-4.8205622911955999</v>
      </c>
      <c r="K10" s="4379" t="str">
        <f>IF(       0.001&lt;0.01,"***",IF(       0.001&lt;0.05,"**",IF(       0.001&lt;0.1,"*","NS")))</f>
        <v>***</v>
      </c>
      <c r="L10" s="4">
        <v>5.1259689725728146</v>
      </c>
      <c r="M10" s="4">
        <v>-6.5681200815118439</v>
      </c>
      <c r="N10" s="4380" t="str">
        <f>IF(       0.01&lt;0.01,"***",IF(       0.01&lt;0.05,"**",IF(       0.01&lt;0.1,"*","NS")))</f>
        <v>**</v>
      </c>
      <c r="P10" s="296" t="s">
        <v>890</v>
      </c>
      <c r="Q10" s="4">
        <v>10.80312889325911</v>
      </c>
      <c r="R10" s="4">
        <v>5.1259689725728146</v>
      </c>
      <c r="S10" s="4">
        <v>-5.6771599206862913</v>
      </c>
      <c r="T10" s="4381" t="str">
        <f>IF(       0.024&lt;0.01,"***",IF(       0.024&lt;0.05,"**",IF(       0.024&lt;0.1,"*","NS")))</f>
        <v>**</v>
      </c>
    </row>
    <row r="11" spans="1:20" x14ac:dyDescent="0.2">
      <c r="A11" s="296" t="s">
        <v>668</v>
      </c>
      <c r="B11" s="4">
        <v>38.814024142966048</v>
      </c>
      <c r="C11" s="4">
        <v>24.728633469171271</v>
      </c>
      <c r="D11" s="4">
        <v>-14.085390673794768</v>
      </c>
      <c r="E11" s="4382" t="str">
        <f t="shared" si="4"/>
        <v>***</v>
      </c>
      <c r="G11" s="296" t="s">
        <v>772</v>
      </c>
      <c r="H11" s="4">
        <v>38.814024142966048</v>
      </c>
      <c r="I11" s="4">
        <v>28.22728434690308</v>
      </c>
      <c r="J11" s="4">
        <v>-10.586739796063036</v>
      </c>
      <c r="K11" s="4383" t="str">
        <f>IF(       0&lt;0.01,"***",IF(       0&lt;0.05,"**",IF(       0&lt;0.1,"*","NS")))</f>
        <v>***</v>
      </c>
      <c r="L11" s="4">
        <v>19.12458441240425</v>
      </c>
      <c r="M11" s="4">
        <v>-19.689439730561844</v>
      </c>
      <c r="N11" s="4384" t="str">
        <f t="shared" ref="N11:N16" si="5">IF(       0&lt;0.01,"***",IF(       0&lt;0.05,"**",IF(       0&lt;0.1,"*","NS")))</f>
        <v>***</v>
      </c>
      <c r="P11" s="296" t="s">
        <v>891</v>
      </c>
      <c r="Q11" s="4">
        <v>35.225566766064347</v>
      </c>
      <c r="R11" s="4">
        <v>19.12458441240425</v>
      </c>
      <c r="S11" s="4">
        <v>-16.100982353660228</v>
      </c>
      <c r="T11" s="4385" t="str">
        <f>IF(       0&lt;0.01,"***",IF(       0&lt;0.05,"**",IF(       0&lt;0.1,"*","NS")))</f>
        <v>***</v>
      </c>
    </row>
    <row r="12" spans="1:20" x14ac:dyDescent="0.2">
      <c r="A12" s="296" t="s">
        <v>669</v>
      </c>
      <c r="B12" s="4">
        <v>28.53690174635047</v>
      </c>
      <c r="C12" s="4">
        <v>23.215643346155009</v>
      </c>
      <c r="D12" s="4">
        <v>-5.3212584001954397</v>
      </c>
      <c r="E12" s="4386" t="str">
        <f t="shared" si="4"/>
        <v>***</v>
      </c>
      <c r="G12" s="296" t="s">
        <v>773</v>
      </c>
      <c r="H12" s="4">
        <v>28.53690174635047</v>
      </c>
      <c r="I12" s="4">
        <v>24.842926218294611</v>
      </c>
      <c r="J12" s="4">
        <v>-3.6939755280558271</v>
      </c>
      <c r="K12" s="4387" t="str">
        <f>IF(       0.016&lt;0.01,"***",IF(       0.016&lt;0.05,"**",IF(       0.016&lt;0.1,"*","NS")))</f>
        <v>**</v>
      </c>
      <c r="L12" s="4">
        <v>17.906734340375799</v>
      </c>
      <c r="M12" s="4">
        <v>-10.630167405974625</v>
      </c>
      <c r="N12" s="4388" t="str">
        <f t="shared" si="5"/>
        <v>***</v>
      </c>
      <c r="P12" s="296" t="s">
        <v>892</v>
      </c>
      <c r="Q12" s="4">
        <v>27.110014523898521</v>
      </c>
      <c r="R12" s="4">
        <v>17.906734340375799</v>
      </c>
      <c r="S12" s="4">
        <v>-9.203280183522919</v>
      </c>
      <c r="T12" s="4389" t="str">
        <f>IF(       0.001&lt;0.01,"***",IF(       0.001&lt;0.05,"**",IF(       0.001&lt;0.1,"*","NS")))</f>
        <v>***</v>
      </c>
    </row>
    <row r="13" spans="1:20" x14ac:dyDescent="0.2">
      <c r="A13" s="296" t="s">
        <v>670</v>
      </c>
      <c r="B13" s="4">
        <v>46.214980957989717</v>
      </c>
      <c r="C13" s="4">
        <v>28.755638992728791</v>
      </c>
      <c r="D13" s="4">
        <v>-17.459341965260951</v>
      </c>
      <c r="E13" s="4390" t="str">
        <f t="shared" si="4"/>
        <v>***</v>
      </c>
      <c r="G13" s="296" t="s">
        <v>774</v>
      </c>
      <c r="H13" s="4">
        <v>46.214980957989717</v>
      </c>
      <c r="I13" s="4">
        <v>31.023036944339012</v>
      </c>
      <c r="J13" s="4">
        <v>-15.191944013651037</v>
      </c>
      <c r="K13" s="4391" t="str">
        <f>IF(       0&lt;0.01,"***",IF(       0&lt;0.05,"**",IF(       0&lt;0.1,"*","NS")))</f>
        <v>***</v>
      </c>
      <c r="L13" s="4">
        <v>22.419185877457991</v>
      </c>
      <c r="M13" s="4">
        <v>-23.795795080531633</v>
      </c>
      <c r="N13" s="4392" t="str">
        <f t="shared" si="5"/>
        <v>***</v>
      </c>
      <c r="P13" s="296" t="s">
        <v>893</v>
      </c>
      <c r="Q13" s="4">
        <v>42.569953360734807</v>
      </c>
      <c r="R13" s="4">
        <v>22.419185877457991</v>
      </c>
      <c r="S13" s="4">
        <v>-20.1507674832771</v>
      </c>
      <c r="T13" s="4393" t="str">
        <f>IF(       0&lt;0.01,"***",IF(       0&lt;0.05,"**",IF(       0&lt;0.1,"*","NS")))</f>
        <v>***</v>
      </c>
    </row>
    <row r="14" spans="1:20" x14ac:dyDescent="0.2">
      <c r="A14" s="296" t="s">
        <v>671</v>
      </c>
      <c r="B14" s="4">
        <v>46.385804613240033</v>
      </c>
      <c r="C14" s="4">
        <v>29.370870268924559</v>
      </c>
      <c r="D14" s="4">
        <v>-17.014934344315183</v>
      </c>
      <c r="E14" s="4394" t="str">
        <f t="shared" si="4"/>
        <v>***</v>
      </c>
      <c r="G14" s="296" t="s">
        <v>775</v>
      </c>
      <c r="H14" s="4">
        <v>46.385804613240033</v>
      </c>
      <c r="I14" s="4">
        <v>33.886992017919333</v>
      </c>
      <c r="J14" s="4">
        <v>-12.498812595320798</v>
      </c>
      <c r="K14" s="4395" t="str">
        <f>IF(       0&lt;0.01,"***",IF(       0&lt;0.05,"**",IF(       0&lt;0.1,"*","NS")))</f>
        <v>***</v>
      </c>
      <c r="L14" s="4">
        <v>15.93200065002649</v>
      </c>
      <c r="M14" s="4">
        <v>-30.453803963213399</v>
      </c>
      <c r="N14" s="4396" t="str">
        <f t="shared" si="5"/>
        <v>***</v>
      </c>
      <c r="P14" s="296" t="s">
        <v>894</v>
      </c>
      <c r="Q14" s="4">
        <v>43.649167916349271</v>
      </c>
      <c r="R14" s="4">
        <v>15.93200065002649</v>
      </c>
      <c r="S14" s="4">
        <v>-27.717167266322111</v>
      </c>
      <c r="T14" s="4397" t="str">
        <f>IF(       0&lt;0.01,"***",IF(       0&lt;0.05,"**",IF(       0&lt;0.1,"*","NS")))</f>
        <v>***</v>
      </c>
    </row>
    <row r="15" spans="1:20" x14ac:dyDescent="0.2">
      <c r="A15" s="296" t="s">
        <v>672</v>
      </c>
      <c r="B15" s="4">
        <v>32.909887094140828</v>
      </c>
      <c r="C15" s="4">
        <v>21.945313832984471</v>
      </c>
      <c r="D15" s="4">
        <v>-10.964573261156213</v>
      </c>
      <c r="E15" s="4398" t="str">
        <f t="shared" si="4"/>
        <v>***</v>
      </c>
      <c r="G15" s="296" t="s">
        <v>776</v>
      </c>
      <c r="H15" s="4">
        <v>32.909887094140828</v>
      </c>
      <c r="I15" s="4">
        <v>23.857823894981831</v>
      </c>
      <c r="J15" s="4">
        <v>-9.0520631991591252</v>
      </c>
      <c r="K15" s="4399" t="str">
        <f>IF(       0&lt;0.01,"***",IF(       0&lt;0.05,"**",IF(       0&lt;0.1,"*","NS")))</f>
        <v>***</v>
      </c>
      <c r="L15" s="4">
        <v>16.00548358674488</v>
      </c>
      <c r="M15" s="4">
        <v>-16.904403507395731</v>
      </c>
      <c r="N15" s="4400" t="str">
        <f t="shared" si="5"/>
        <v>***</v>
      </c>
      <c r="P15" s="296" t="s">
        <v>895</v>
      </c>
      <c r="Q15" s="4">
        <v>30.875661220928919</v>
      </c>
      <c r="R15" s="4">
        <v>16.00548358674488</v>
      </c>
      <c r="S15" s="4">
        <v>-14.870177634183793</v>
      </c>
      <c r="T15" s="4401" t="str">
        <f>IF(       0&lt;0.01,"***",IF(       0&lt;0.05,"**",IF(       0&lt;0.1,"*","NS")))</f>
        <v>***</v>
      </c>
    </row>
    <row r="16" spans="1:20" x14ac:dyDescent="0.2">
      <c r="A16" s="296" t="s">
        <v>673</v>
      </c>
      <c r="B16" s="4">
        <v>40.376351625408759</v>
      </c>
      <c r="C16" s="4">
        <v>24.725460530442419</v>
      </c>
      <c r="D16" s="4">
        <v>-15.650891094966314</v>
      </c>
      <c r="E16" s="4402" t="str">
        <f t="shared" si="4"/>
        <v>***</v>
      </c>
      <c r="G16" s="296" t="s">
        <v>777</v>
      </c>
      <c r="H16" s="4">
        <v>40.376351625408759</v>
      </c>
      <c r="I16" s="4">
        <v>28.495099829091782</v>
      </c>
      <c r="J16" s="4">
        <v>-11.881251796316826</v>
      </c>
      <c r="K16" s="4403" t="str">
        <f>IF(       0&lt;0.01,"***",IF(       0&lt;0.05,"**",IF(       0&lt;0.1,"*","NS")))</f>
        <v>***</v>
      </c>
      <c r="L16" s="4">
        <v>16.340099426595021</v>
      </c>
      <c r="M16" s="4">
        <v>-24.036252198813841</v>
      </c>
      <c r="N16" s="4404" t="str">
        <f t="shared" si="5"/>
        <v>***</v>
      </c>
      <c r="P16" s="296" t="s">
        <v>896</v>
      </c>
      <c r="Q16" s="4">
        <v>36.460140770925342</v>
      </c>
      <c r="R16" s="4">
        <v>16.340099426595021</v>
      </c>
      <c r="S16" s="4">
        <v>-20.120041344329987</v>
      </c>
      <c r="T16" s="4405" t="str">
        <f>IF(       0&lt;0.01,"***",IF(       0&lt;0.05,"**",IF(       0&lt;0.1,"*","NS")))</f>
        <v>***</v>
      </c>
    </row>
    <row r="17" spans="1:20" x14ac:dyDescent="0.2">
      <c r="A17" s="296" t="s">
        <v>674</v>
      </c>
      <c r="B17" s="4">
        <v>26.315287835385369</v>
      </c>
      <c r="C17" s="4">
        <v>19.894887679695309</v>
      </c>
      <c r="D17" s="4">
        <v>-6.420400155690003</v>
      </c>
      <c r="E17" s="4406" t="str">
        <f>IF(       0.003&lt;0.01,"***",IF(       0.003&lt;0.05,"**",IF(       0.003&lt;0.1,"*","NS")))</f>
        <v>***</v>
      </c>
      <c r="G17" s="296" t="s">
        <v>778</v>
      </c>
      <c r="H17" s="4">
        <v>26.315287835385369</v>
      </c>
      <c r="I17" s="4">
        <v>20.865788091145738</v>
      </c>
      <c r="J17" s="4">
        <v>-5.4494997442395157</v>
      </c>
      <c r="K17" s="4407" t="str">
        <f>IF(       0.018&lt;0.01,"***",IF(       0.018&lt;0.05,"**",IF(       0.018&lt;0.1,"*","NS")))</f>
        <v>**</v>
      </c>
      <c r="L17" s="4">
        <v>16.817656344589079</v>
      </c>
      <c r="M17" s="4">
        <v>-9.4976314907961914</v>
      </c>
      <c r="N17" s="4408" t="str">
        <f>IF(       0.004&lt;0.01,"***",IF(       0.004&lt;0.05,"**",IF(       0.004&lt;0.1,"*","NS")))</f>
        <v>***</v>
      </c>
      <c r="P17" s="296" t="s">
        <v>897</v>
      </c>
      <c r="Q17" s="4">
        <v>24.899014117918931</v>
      </c>
      <c r="R17" s="4">
        <v>16.817656344589079</v>
      </c>
      <c r="S17" s="4">
        <v>-8.0813577733300264</v>
      </c>
      <c r="T17" s="4409" t="str">
        <f>IF(       0.011&lt;0.01,"***",IF(       0.011&lt;0.05,"**",IF(       0.011&lt;0.1,"*","NS")))</f>
        <v>**</v>
      </c>
    </row>
    <row r="18" spans="1:20" x14ac:dyDescent="0.2">
      <c r="A18" s="296" t="s">
        <v>5835</v>
      </c>
      <c r="B18" s="4">
        <v>39.224236591459999</v>
      </c>
      <c r="C18" s="4">
        <v>25.238305207672202</v>
      </c>
      <c r="D18" s="4">
        <v>-13.98593138378728</v>
      </c>
      <c r="E18" s="4410" t="str">
        <f>IF(       0&lt;0.01,"***",IF(       0&lt;0.05,"**",IF(       0&lt;0.1,"*","NS")))</f>
        <v>***</v>
      </c>
      <c r="G18" s="296" t="s">
        <v>5835</v>
      </c>
      <c r="H18" s="4">
        <v>39.224236591459999</v>
      </c>
      <c r="I18" s="4">
        <v>27.783589338811531</v>
      </c>
      <c r="J18" s="4">
        <v>-11.440647252648198</v>
      </c>
      <c r="K18" s="4411" t="str">
        <f>IF(       0&lt;0.01,"***",IF(       0&lt;0.05,"**",IF(       0&lt;0.1,"*","NS")))</f>
        <v>***</v>
      </c>
      <c r="L18" s="4">
        <v>17.702856067620719</v>
      </c>
      <c r="M18" s="4">
        <v>-21.521380523838623</v>
      </c>
      <c r="N18" s="4412" t="str">
        <f>IF(       0&lt;0.01,"***",IF(       0&lt;0.05,"**",IF(       0&lt;0.1,"*","NS")))</f>
        <v>***</v>
      </c>
      <c r="P18" s="296" t="s">
        <v>5835</v>
      </c>
      <c r="Q18" s="4">
        <v>36.158096201369261</v>
      </c>
      <c r="R18" s="4">
        <v>17.702856067620719</v>
      </c>
      <c r="S18" s="4">
        <v>-18.455240133750081</v>
      </c>
      <c r="T18" s="4413" t="str">
        <f>IF(       0&lt;0.01,"***",IF(       0&lt;0.05,"**",IF(       0&lt;0.1,"*","NS")))</f>
        <v>***</v>
      </c>
    </row>
    <row r="20" spans="1:20" x14ac:dyDescent="0.2">
      <c r="A20" s="296" t="s">
        <v>675</v>
      </c>
      <c r="G20" s="296" t="s">
        <v>779</v>
      </c>
      <c r="P20" s="296" t="s">
        <v>898</v>
      </c>
    </row>
    <row r="21" spans="1:20" s="3" customFormat="1" x14ac:dyDescent="0.2">
      <c r="A21" s="6396" t="s">
        <v>676</v>
      </c>
      <c r="B21" s="6397" t="s">
        <v>677</v>
      </c>
      <c r="C21" s="6398" t="s">
        <v>678</v>
      </c>
      <c r="D21" s="6399" t="s">
        <v>679</v>
      </c>
      <c r="E21" s="6400" t="s">
        <v>680</v>
      </c>
      <c r="G21" s="6401" t="s">
        <v>780</v>
      </c>
      <c r="H21" s="6402" t="s">
        <v>781</v>
      </c>
      <c r="I21" s="6403" t="s">
        <v>782</v>
      </c>
      <c r="J21" s="6404" t="s">
        <v>783</v>
      </c>
      <c r="K21" s="6405" t="s">
        <v>784</v>
      </c>
      <c r="L21" s="6406" t="s">
        <v>865</v>
      </c>
      <c r="M21" s="6407" t="s">
        <v>866</v>
      </c>
      <c r="N21" s="6408" t="s">
        <v>867</v>
      </c>
      <c r="P21" s="6409" t="s">
        <v>899</v>
      </c>
      <c r="Q21" s="6410" t="s">
        <v>900</v>
      </c>
      <c r="R21" s="6411" t="s">
        <v>901</v>
      </c>
      <c r="S21" s="6412" t="s">
        <v>902</v>
      </c>
      <c r="T21" s="6413" t="s">
        <v>903</v>
      </c>
    </row>
    <row r="22" spans="1:20" x14ac:dyDescent="0.2">
      <c r="A22" s="296" t="s">
        <v>681</v>
      </c>
      <c r="B22" s="4">
        <v>27.493928473252119</v>
      </c>
      <c r="C22" s="4">
        <v>15.580363043518229</v>
      </c>
      <c r="D22" s="4">
        <v>-11.913565429734025</v>
      </c>
      <c r="E22" s="4414" t="str">
        <f>IF(       0&lt;0.01,"***",IF(       0&lt;0.05,"**",IF(       0&lt;0.1,"*","NS")))</f>
        <v>***</v>
      </c>
      <c r="G22" s="296" t="s">
        <v>785</v>
      </c>
      <c r="H22" s="4">
        <v>27.493928473252119</v>
      </c>
      <c r="I22" s="4">
        <v>18.357798110637539</v>
      </c>
      <c r="J22" s="4">
        <v>-9.1361303626145958</v>
      </c>
      <c r="K22" s="4415" t="str">
        <f>IF(       0&lt;0.01,"***",IF(       0&lt;0.05,"**",IF(       0&lt;0.1,"*","NS")))</f>
        <v>***</v>
      </c>
      <c r="L22" s="4">
        <v>6.0235719735931674</v>
      </c>
      <c r="M22" s="4">
        <v>-21.47035649965882</v>
      </c>
      <c r="N22" s="4416" t="str">
        <f t="shared" ref="N22:N27" si="6">IF(       0&lt;0.01,"***",IF(       0&lt;0.05,"**",IF(       0&lt;0.1,"*","NS")))</f>
        <v>***</v>
      </c>
      <c r="P22" s="296" t="s">
        <v>904</v>
      </c>
      <c r="Q22" s="4">
        <v>24.058222164986841</v>
      </c>
      <c r="R22" s="4">
        <v>6.0235719735931674</v>
      </c>
      <c r="S22" s="4">
        <v>-18.034650191393489</v>
      </c>
      <c r="T22" s="4417" t="str">
        <f t="shared" ref="T22:T27" si="7">IF(       0&lt;0.01,"***",IF(       0&lt;0.05,"**",IF(       0&lt;0.1,"*","NS")))</f>
        <v>***</v>
      </c>
    </row>
    <row r="23" spans="1:20" x14ac:dyDescent="0.2">
      <c r="A23" s="296" t="s">
        <v>682</v>
      </c>
      <c r="B23" s="4">
        <v>42.040781987646213</v>
      </c>
      <c r="C23" s="4">
        <v>19.728225035259459</v>
      </c>
      <c r="D23" s="4">
        <v>-22.312556952386885</v>
      </c>
      <c r="E23" s="4418" t="str">
        <f>IF(       0&lt;0.01,"***",IF(       0&lt;0.05,"**",IF(       0&lt;0.1,"*","NS")))</f>
        <v>***</v>
      </c>
      <c r="G23" s="296" t="s">
        <v>786</v>
      </c>
      <c r="H23" s="4">
        <v>42.040781987646213</v>
      </c>
      <c r="I23" s="4">
        <v>23.49414131111789</v>
      </c>
      <c r="J23" s="4">
        <v>-18.546640676528316</v>
      </c>
      <c r="K23" s="4419" t="str">
        <f>IF(       0&lt;0.01,"***",IF(       0&lt;0.05,"**",IF(       0&lt;0.1,"*","NS")))</f>
        <v>***</v>
      </c>
      <c r="L23" s="4">
        <v>10.05984271364593</v>
      </c>
      <c r="M23" s="4">
        <v>-31.980939274000338</v>
      </c>
      <c r="N23" s="4420" t="str">
        <f t="shared" si="6"/>
        <v>***</v>
      </c>
      <c r="P23" s="296" t="s">
        <v>905</v>
      </c>
      <c r="Q23" s="4">
        <v>35.881289268562348</v>
      </c>
      <c r="R23" s="4">
        <v>10.05984271364593</v>
      </c>
      <c r="S23" s="4">
        <v>-25.821446554916527</v>
      </c>
      <c r="T23" s="4421" t="str">
        <f t="shared" si="7"/>
        <v>***</v>
      </c>
    </row>
    <row r="24" spans="1:20" x14ac:dyDescent="0.2">
      <c r="A24" s="296" t="s">
        <v>683</v>
      </c>
      <c r="B24" s="4">
        <v>39.801686872743197</v>
      </c>
      <c r="C24" s="4">
        <v>17.14170853423326</v>
      </c>
      <c r="D24" s="4">
        <v>-22.65997833850999</v>
      </c>
      <c r="E24" s="4422" t="str">
        <f>IF(       0&lt;0.01,"***",IF(       0&lt;0.05,"**",IF(       0&lt;0.1,"*","NS")))</f>
        <v>***</v>
      </c>
      <c r="G24" s="296" t="s">
        <v>787</v>
      </c>
      <c r="H24" s="4">
        <v>39.801686872743197</v>
      </c>
      <c r="I24" s="4">
        <v>18.969536804458919</v>
      </c>
      <c r="J24" s="4">
        <v>-20.832150068284303</v>
      </c>
      <c r="K24" s="4423" t="str">
        <f>IF(       0&lt;0.01,"***",IF(       0&lt;0.05,"**",IF(       0&lt;0.1,"*","NS")))</f>
        <v>***</v>
      </c>
      <c r="L24" s="4">
        <v>12.255768610307589</v>
      </c>
      <c r="M24" s="4">
        <v>-27.545918262435958</v>
      </c>
      <c r="N24" s="4424" t="str">
        <f t="shared" si="6"/>
        <v>***</v>
      </c>
      <c r="P24" s="296" t="s">
        <v>906</v>
      </c>
      <c r="Q24" s="4">
        <v>34.877963900303278</v>
      </c>
      <c r="R24" s="4">
        <v>12.255768610307589</v>
      </c>
      <c r="S24" s="4">
        <v>-22.622195289995751</v>
      </c>
      <c r="T24" s="4425" t="str">
        <f t="shared" si="7"/>
        <v>***</v>
      </c>
    </row>
    <row r="25" spans="1:20" x14ac:dyDescent="0.2">
      <c r="A25" s="296" t="s">
        <v>684</v>
      </c>
      <c r="B25" s="4">
        <v>32.41107478208091</v>
      </c>
      <c r="C25" s="4">
        <v>17.86649802882382</v>
      </c>
      <c r="D25" s="4">
        <v>-14.544576753257207</v>
      </c>
      <c r="E25" s="4426" t="str">
        <f>IF(       0&lt;0.01,"***",IF(       0&lt;0.05,"**",IF(       0&lt;0.1,"*","NS")))</f>
        <v>***</v>
      </c>
      <c r="G25" s="296" t="s">
        <v>788</v>
      </c>
      <c r="H25" s="4">
        <v>32.41107478208091</v>
      </c>
      <c r="I25" s="4">
        <v>20.09061387827985</v>
      </c>
      <c r="J25" s="4">
        <v>-12.320460903801008</v>
      </c>
      <c r="K25" s="4427" t="str">
        <f>IF(       0&lt;0.01,"***",IF(       0&lt;0.05,"**",IF(       0&lt;0.1,"*","NS")))</f>
        <v>***</v>
      </c>
      <c r="L25" s="4">
        <v>10.023543380349009</v>
      </c>
      <c r="M25" s="4">
        <v>-22.38753140173193</v>
      </c>
      <c r="N25" s="4428" t="str">
        <f t="shared" si="6"/>
        <v>***</v>
      </c>
      <c r="P25" s="296" t="s">
        <v>907</v>
      </c>
      <c r="Q25" s="4">
        <v>28.65943413145585</v>
      </c>
      <c r="R25" s="4">
        <v>10.023543380349009</v>
      </c>
      <c r="S25" s="4">
        <v>-18.635890751106814</v>
      </c>
      <c r="T25" s="4429" t="str">
        <f t="shared" si="7"/>
        <v>***</v>
      </c>
    </row>
    <row r="26" spans="1:20" x14ac:dyDescent="0.2">
      <c r="A26" s="296" t="s">
        <v>685</v>
      </c>
      <c r="B26" s="4">
        <v>29.323761042803699</v>
      </c>
      <c r="C26" s="4">
        <v>18.73536737877593</v>
      </c>
      <c r="D26" s="4">
        <v>-10.588393664027851</v>
      </c>
      <c r="E26" s="4430" t="str">
        <f>IF(       0.004&lt;0.01,"***",IF(       0.004&lt;0.05,"**",IF(       0.004&lt;0.1,"*","NS")))</f>
        <v>***</v>
      </c>
      <c r="G26" s="296" t="s">
        <v>789</v>
      </c>
      <c r="H26" s="4">
        <v>29.323761042803699</v>
      </c>
      <c r="I26" s="4">
        <v>21.23545331177613</v>
      </c>
      <c r="J26" s="4">
        <v>-8.0883077310276228</v>
      </c>
      <c r="K26" s="4431" t="str">
        <f>IF(       0.025&lt;0.01,"***",IF(       0.025&lt;0.05,"**",IF(       0.025&lt;0.1,"*","NS")))</f>
        <v>**</v>
      </c>
      <c r="L26" s="4">
        <v>7.5296215002763907</v>
      </c>
      <c r="M26" s="4">
        <v>-21.794139542527514</v>
      </c>
      <c r="N26" s="4432" t="str">
        <f t="shared" si="6"/>
        <v>***</v>
      </c>
      <c r="P26" s="296" t="s">
        <v>908</v>
      </c>
      <c r="Q26" s="4">
        <v>27.153365136864259</v>
      </c>
      <c r="R26" s="4">
        <v>7.5296215002763907</v>
      </c>
      <c r="S26" s="4">
        <v>-19.623743636588074</v>
      </c>
      <c r="T26" s="4433" t="str">
        <f t="shared" si="7"/>
        <v>***</v>
      </c>
    </row>
    <row r="27" spans="1:20" x14ac:dyDescent="0.2">
      <c r="A27" s="296" t="s">
        <v>686</v>
      </c>
      <c r="B27" s="4">
        <v>47.381115066663753</v>
      </c>
      <c r="C27" s="4">
        <v>23.977076591974651</v>
      </c>
      <c r="D27" s="4">
        <v>-23.404038474688981</v>
      </c>
      <c r="E27" s="4434" t="str">
        <f>IF(       0&lt;0.01,"***",IF(       0&lt;0.05,"**",IF(       0&lt;0.1,"*","NS")))</f>
        <v>***</v>
      </c>
      <c r="G27" s="296" t="s">
        <v>790</v>
      </c>
      <c r="H27" s="4">
        <v>47.381115066663753</v>
      </c>
      <c r="I27" s="4">
        <v>26.96130433005651</v>
      </c>
      <c r="J27" s="4">
        <v>-20.419810736607189</v>
      </c>
      <c r="K27" s="4435" t="str">
        <f>IF(       0&lt;0.01,"***",IF(       0&lt;0.05,"**",IF(       0&lt;0.1,"*","NS")))</f>
        <v>***</v>
      </c>
      <c r="L27" s="4">
        <v>15.296166788082459</v>
      </c>
      <c r="M27" s="4">
        <v>-32.084948278581372</v>
      </c>
      <c r="N27" s="4436" t="str">
        <f t="shared" si="6"/>
        <v>***</v>
      </c>
      <c r="P27" s="296" t="s">
        <v>909</v>
      </c>
      <c r="Q27" s="4">
        <v>41.460382955015042</v>
      </c>
      <c r="R27" s="4">
        <v>15.296166788082459</v>
      </c>
      <c r="S27" s="4">
        <v>-26.164216166932576</v>
      </c>
      <c r="T27" s="4437" t="str">
        <f t="shared" si="7"/>
        <v>***</v>
      </c>
    </row>
    <row r="28" spans="1:20" x14ac:dyDescent="0.2">
      <c r="A28" s="296" t="s">
        <v>687</v>
      </c>
      <c r="B28" s="4">
        <v>50.906381479004523</v>
      </c>
      <c r="C28" s="4">
        <v>45.516390045076363</v>
      </c>
      <c r="D28" s="4">
        <v>-5.3899914339281567</v>
      </c>
      <c r="E28" s="4438" t="str">
        <f>IF(       0.12&lt;0.01,"***",IF(       0.12&lt;0.05,"**",IF(       0.12&lt;0.1,"*","NS")))</f>
        <v>NS</v>
      </c>
      <c r="G28" s="296" t="s">
        <v>791</v>
      </c>
      <c r="H28" s="4">
        <v>50.906381479004523</v>
      </c>
      <c r="I28" s="4">
        <v>46.788992476864031</v>
      </c>
      <c r="J28" s="4">
        <v>-4.1173890021404782</v>
      </c>
      <c r="K28" s="4439" t="str">
        <f>IF(       0.309&lt;0.01,"***",IF(       0.309&lt;0.05,"**",IF(       0.309&lt;0.1,"*","NS")))</f>
        <v>NS</v>
      </c>
      <c r="L28" s="4">
        <v>39.945193721657709</v>
      </c>
      <c r="M28" s="4">
        <v>-10.961187757346963</v>
      </c>
      <c r="N28" s="4440" t="str">
        <f>IF(       0.146&lt;0.01,"***",IF(       0.146&lt;0.05,"**",IF(       0.146&lt;0.1,"*","NS")))</f>
        <v>NS</v>
      </c>
      <c r="P28" s="296" t="s">
        <v>910</v>
      </c>
      <c r="Q28" s="4">
        <v>50.253845739900683</v>
      </c>
      <c r="R28" s="4">
        <v>39.945193721657709</v>
      </c>
      <c r="S28" s="4">
        <v>-10.308652018242961</v>
      </c>
      <c r="T28" s="4441" t="str">
        <f>IF(       0.175&lt;0.01,"***",IF(       0.175&lt;0.05,"**",IF(       0.175&lt;0.1,"*","NS")))</f>
        <v>NS</v>
      </c>
    </row>
    <row r="29" spans="1:20" x14ac:dyDescent="0.2">
      <c r="A29" s="296" t="s">
        <v>688</v>
      </c>
      <c r="B29" s="4">
        <v>7.188102510546055</v>
      </c>
      <c r="C29" s="4">
        <v>2.1820456159372958</v>
      </c>
      <c r="D29" s="4">
        <v>-5.0060568946087187</v>
      </c>
      <c r="E29" s="4442" t="str">
        <f>IF(       0.002&lt;0.01,"***",IF(       0.002&lt;0.05,"**",IF(       0.002&lt;0.1,"*","NS")))</f>
        <v>***</v>
      </c>
      <c r="G29" s="296" t="s">
        <v>792</v>
      </c>
      <c r="H29" s="4">
        <v>7.188102510546055</v>
      </c>
      <c r="I29" s="4">
        <v>2.1939072150243448</v>
      </c>
      <c r="J29" s="4">
        <v>-4.9941952955217479</v>
      </c>
      <c r="K29" s="4443" t="str">
        <f>IF(       0.001&lt;0.01,"***",IF(       0.001&lt;0.05,"**",IF(       0.001&lt;0.1,"*","NS")))</f>
        <v>***</v>
      </c>
      <c r="L29" s="4">
        <v>2.1406087375442602</v>
      </c>
      <c r="M29" s="4">
        <v>-5.0474937730018414</v>
      </c>
      <c r="N29" s="4444" t="str">
        <f>IF(       0.048&lt;0.01,"***",IF(       0.048&lt;0.05,"**",IF(       0.048&lt;0.1,"*","NS")))</f>
        <v>**</v>
      </c>
      <c r="P29" s="296" t="s">
        <v>911</v>
      </c>
      <c r="Q29" s="4">
        <v>6.1581178709843876</v>
      </c>
      <c r="R29" s="4">
        <v>2.1406087375442602</v>
      </c>
      <c r="S29" s="4">
        <v>-4.0175091334401429</v>
      </c>
      <c r="T29" s="4445" t="str">
        <f>IF(       0.087&lt;0.01,"***",IF(       0.087&lt;0.05,"**",IF(       0.087&lt;0.1,"*","NS")))</f>
        <v>*</v>
      </c>
    </row>
    <row r="30" spans="1:20" x14ac:dyDescent="0.2">
      <c r="A30" s="296" t="s">
        <v>689</v>
      </c>
      <c r="B30" s="4">
        <v>38.202204718059733</v>
      </c>
      <c r="C30" s="4">
        <v>18.086960308135499</v>
      </c>
      <c r="D30" s="4">
        <v>-20.115244409924188</v>
      </c>
      <c r="E30" s="4446" t="str">
        <f t="shared" ref="E30:E37" si="8">IF(       0&lt;0.01,"***",IF(       0&lt;0.05,"**",IF(       0&lt;0.1,"*","NS")))</f>
        <v>***</v>
      </c>
      <c r="G30" s="296" t="s">
        <v>793</v>
      </c>
      <c r="H30" s="4">
        <v>38.202204718059733</v>
      </c>
      <c r="I30" s="4">
        <v>19.993633390031601</v>
      </c>
      <c r="J30" s="4">
        <v>-18.208571328028231</v>
      </c>
      <c r="K30" s="4447" t="str">
        <f>IF(       0&lt;0.01,"***",IF(       0&lt;0.05,"**",IF(       0&lt;0.1,"*","NS")))</f>
        <v>***</v>
      </c>
      <c r="L30" s="4">
        <v>15.25157941806683</v>
      </c>
      <c r="M30" s="4">
        <v>-22.950625299992772</v>
      </c>
      <c r="N30" s="4448" t="str">
        <f t="shared" ref="N30:N37" si="9">IF(       0&lt;0.01,"***",IF(       0&lt;0.05,"**",IF(       0&lt;0.1,"*","NS")))</f>
        <v>***</v>
      </c>
      <c r="P30" s="296" t="s">
        <v>912</v>
      </c>
      <c r="Q30" s="4">
        <v>31.328358815669461</v>
      </c>
      <c r="R30" s="4">
        <v>15.25157941806683</v>
      </c>
      <c r="S30" s="4">
        <v>-16.076779397602625</v>
      </c>
      <c r="T30" s="4449" t="str">
        <f t="shared" ref="T30:T37" si="10">IF(       0&lt;0.01,"***",IF(       0&lt;0.05,"**",IF(       0&lt;0.1,"*","NS")))</f>
        <v>***</v>
      </c>
    </row>
    <row r="31" spans="1:20" x14ac:dyDescent="0.2">
      <c r="A31" s="296" t="s">
        <v>690</v>
      </c>
      <c r="B31" s="4">
        <v>23.245648951448398</v>
      </c>
      <c r="C31" s="4">
        <v>14.200583127433241</v>
      </c>
      <c r="D31" s="4">
        <v>-9.0450658240151895</v>
      </c>
      <c r="E31" s="4450" t="str">
        <f t="shared" si="8"/>
        <v>***</v>
      </c>
      <c r="G31" s="296" t="s">
        <v>794</v>
      </c>
      <c r="H31" s="4">
        <v>23.245648951448398</v>
      </c>
      <c r="I31" s="4">
        <v>15.83282513903537</v>
      </c>
      <c r="J31" s="4">
        <v>-7.4128238124130661</v>
      </c>
      <c r="K31" s="4451" t="str">
        <f>IF(       0.001&lt;0.01,"***",IF(       0.001&lt;0.05,"**",IF(       0.001&lt;0.1,"*","NS")))</f>
        <v>***</v>
      </c>
      <c r="L31" s="4">
        <v>8.8681194718135625</v>
      </c>
      <c r="M31" s="4">
        <v>-14.377529479634862</v>
      </c>
      <c r="N31" s="4452" t="str">
        <f t="shared" si="9"/>
        <v>***</v>
      </c>
      <c r="P31" s="296" t="s">
        <v>913</v>
      </c>
      <c r="Q31" s="4">
        <v>20.230605488438531</v>
      </c>
      <c r="R31" s="4">
        <v>8.8681194718135625</v>
      </c>
      <c r="S31" s="4">
        <v>-11.362486016624977</v>
      </c>
      <c r="T31" s="4453" t="str">
        <f t="shared" si="10"/>
        <v>***</v>
      </c>
    </row>
    <row r="32" spans="1:20" x14ac:dyDescent="0.2">
      <c r="A32" s="296" t="s">
        <v>691</v>
      </c>
      <c r="B32" s="4">
        <v>44.972127413551327</v>
      </c>
      <c r="C32" s="4">
        <v>22.9237927260261</v>
      </c>
      <c r="D32" s="4">
        <v>-22.048334687525163</v>
      </c>
      <c r="E32" s="4454" t="str">
        <f t="shared" si="8"/>
        <v>***</v>
      </c>
      <c r="G32" s="296" t="s">
        <v>795</v>
      </c>
      <c r="H32" s="4">
        <v>44.972127413551327</v>
      </c>
      <c r="I32" s="4">
        <v>24.571269930358309</v>
      </c>
      <c r="J32" s="4">
        <v>-20.400857483193061</v>
      </c>
      <c r="K32" s="4455" t="str">
        <f>IF(       0&lt;0.01,"***",IF(       0&lt;0.05,"**",IF(       0&lt;0.1,"*","NS")))</f>
        <v>***</v>
      </c>
      <c r="L32" s="4">
        <v>18.5517870244738</v>
      </c>
      <c r="M32" s="4">
        <v>-26.420340389077612</v>
      </c>
      <c r="N32" s="4456" t="str">
        <f t="shared" si="9"/>
        <v>***</v>
      </c>
      <c r="P32" s="296" t="s">
        <v>914</v>
      </c>
      <c r="Q32" s="4">
        <v>39.595176533291593</v>
      </c>
      <c r="R32" s="4">
        <v>18.5517870244738</v>
      </c>
      <c r="S32" s="4">
        <v>-21.043389508818112</v>
      </c>
      <c r="T32" s="4457" t="str">
        <f t="shared" si="10"/>
        <v>***</v>
      </c>
    </row>
    <row r="33" spans="1:20" x14ac:dyDescent="0.2">
      <c r="A33" s="296" t="s">
        <v>692</v>
      </c>
      <c r="B33" s="4">
        <v>49.108834753657163</v>
      </c>
      <c r="C33" s="4">
        <v>27.324368263484811</v>
      </c>
      <c r="D33" s="4">
        <v>-21.784466490172253</v>
      </c>
      <c r="E33" s="4458" t="str">
        <f t="shared" si="8"/>
        <v>***</v>
      </c>
      <c r="G33" s="296" t="s">
        <v>796</v>
      </c>
      <c r="H33" s="4">
        <v>49.108834753657163</v>
      </c>
      <c r="I33" s="4">
        <v>31.257863734506401</v>
      </c>
      <c r="J33" s="4">
        <v>-17.850971019150904</v>
      </c>
      <c r="K33" s="4459" t="str">
        <f>IF(       0&lt;0.01,"***",IF(       0&lt;0.05,"**",IF(       0&lt;0.1,"*","NS")))</f>
        <v>***</v>
      </c>
      <c r="L33" s="4">
        <v>16.170459866365508</v>
      </c>
      <c r="M33" s="4">
        <v>-32.938374887291275</v>
      </c>
      <c r="N33" s="4460" t="str">
        <f t="shared" si="9"/>
        <v>***</v>
      </c>
      <c r="P33" s="296" t="s">
        <v>915</v>
      </c>
      <c r="Q33" s="4">
        <v>44.890332186199792</v>
      </c>
      <c r="R33" s="4">
        <v>16.170459866365508</v>
      </c>
      <c r="S33" s="4">
        <v>-28.719872319834401</v>
      </c>
      <c r="T33" s="4461" t="str">
        <f t="shared" si="10"/>
        <v>***</v>
      </c>
    </row>
    <row r="34" spans="1:20" x14ac:dyDescent="0.2">
      <c r="A34" s="296" t="s">
        <v>693</v>
      </c>
      <c r="B34" s="4">
        <v>29.454560020282539</v>
      </c>
      <c r="C34" s="4">
        <v>15.71331142624676</v>
      </c>
      <c r="D34" s="4">
        <v>-13.741248594035683</v>
      </c>
      <c r="E34" s="4462" t="str">
        <f t="shared" si="8"/>
        <v>***</v>
      </c>
      <c r="G34" s="296" t="s">
        <v>797</v>
      </c>
      <c r="H34" s="4">
        <v>29.454560020282539</v>
      </c>
      <c r="I34" s="4">
        <v>18.606833239137671</v>
      </c>
      <c r="J34" s="4">
        <v>-10.847726781144775</v>
      </c>
      <c r="K34" s="4463" t="str">
        <f>IF(       0&lt;0.01,"***",IF(       0&lt;0.05,"**",IF(       0&lt;0.1,"*","NS")))</f>
        <v>***</v>
      </c>
      <c r="L34" s="4">
        <v>6.0756621528981718</v>
      </c>
      <c r="M34" s="4">
        <v>-23.37889786738436</v>
      </c>
      <c r="N34" s="4464" t="str">
        <f t="shared" si="9"/>
        <v>***</v>
      </c>
      <c r="P34" s="296" t="s">
        <v>916</v>
      </c>
      <c r="Q34" s="4">
        <v>26.75447088641328</v>
      </c>
      <c r="R34" s="4">
        <v>6.0756621528981718</v>
      </c>
      <c r="S34" s="4">
        <v>-20.678808733515073</v>
      </c>
      <c r="T34" s="4465" t="str">
        <f t="shared" si="10"/>
        <v>***</v>
      </c>
    </row>
    <row r="35" spans="1:20" x14ac:dyDescent="0.2">
      <c r="A35" s="296" t="s">
        <v>694</v>
      </c>
      <c r="B35" s="4">
        <v>38.535303706273687</v>
      </c>
      <c r="C35" s="4">
        <v>18.42531593176265</v>
      </c>
      <c r="D35" s="4">
        <v>-20.109987774510859</v>
      </c>
      <c r="E35" s="4466" t="str">
        <f t="shared" si="8"/>
        <v>***</v>
      </c>
      <c r="G35" s="296" t="s">
        <v>798</v>
      </c>
      <c r="H35" s="4">
        <v>38.535303706273687</v>
      </c>
      <c r="I35" s="4">
        <v>21.78668178288634</v>
      </c>
      <c r="J35" s="4">
        <v>-16.748621923387244</v>
      </c>
      <c r="K35" s="4467" t="str">
        <f>IF(       0&lt;0.01,"***",IF(       0&lt;0.05,"**",IF(       0&lt;0.1,"*","NS")))</f>
        <v>***</v>
      </c>
      <c r="L35" s="4">
        <v>11.63012769610226</v>
      </c>
      <c r="M35" s="4">
        <v>-26.905176010171424</v>
      </c>
      <c r="N35" s="4468" t="str">
        <f t="shared" si="9"/>
        <v>***</v>
      </c>
      <c r="P35" s="296" t="s">
        <v>917</v>
      </c>
      <c r="Q35" s="4">
        <v>32.895279203546373</v>
      </c>
      <c r="R35" s="4">
        <v>11.63012769610226</v>
      </c>
      <c r="S35" s="4">
        <v>-21.265151507444219</v>
      </c>
      <c r="T35" s="4469" t="str">
        <f t="shared" si="10"/>
        <v>***</v>
      </c>
    </row>
    <row r="36" spans="1:20" x14ac:dyDescent="0.2">
      <c r="A36" s="296" t="s">
        <v>695</v>
      </c>
      <c r="B36" s="4">
        <v>20.46603840193595</v>
      </c>
      <c r="C36" s="4">
        <v>10.042925233530591</v>
      </c>
      <c r="D36" s="4">
        <v>-10.423113168405195</v>
      </c>
      <c r="E36" s="4470" t="str">
        <f t="shared" si="8"/>
        <v>***</v>
      </c>
      <c r="G36" s="296" t="s">
        <v>799</v>
      </c>
      <c r="H36" s="4">
        <v>20.46603840193595</v>
      </c>
      <c r="I36" s="4">
        <v>11.662469784075659</v>
      </c>
      <c r="J36" s="4">
        <v>-8.8035686178604475</v>
      </c>
      <c r="K36" s="4471" t="str">
        <f>IF(       0.003&lt;0.01,"***",IF(       0.003&lt;0.05,"**",IF(       0.003&lt;0.1,"*","NS")))</f>
        <v>***</v>
      </c>
      <c r="L36" s="4">
        <v>4.2527971699776614</v>
      </c>
      <c r="M36" s="4">
        <v>-16.213241231958264</v>
      </c>
      <c r="N36" s="4472" t="str">
        <f t="shared" si="9"/>
        <v>***</v>
      </c>
      <c r="P36" s="296" t="s">
        <v>918</v>
      </c>
      <c r="Q36" s="4">
        <v>18.05487006495704</v>
      </c>
      <c r="R36" s="4">
        <v>4.2527971699776614</v>
      </c>
      <c r="S36" s="4">
        <v>-13.802072894979206</v>
      </c>
      <c r="T36" s="4473" t="str">
        <f t="shared" si="10"/>
        <v>***</v>
      </c>
    </row>
    <row r="37" spans="1:20" x14ac:dyDescent="0.2">
      <c r="A37" s="296" t="s">
        <v>5835</v>
      </c>
      <c r="B37" s="4">
        <v>37.789891084584561</v>
      </c>
      <c r="C37" s="4">
        <v>19.64234940447993</v>
      </c>
      <c r="D37" s="4">
        <v>-18.147541680105185</v>
      </c>
      <c r="E37" s="4474" t="str">
        <f t="shared" si="8"/>
        <v>***</v>
      </c>
      <c r="G37" s="296" t="s">
        <v>5835</v>
      </c>
      <c r="H37" s="4">
        <v>37.789891084584561</v>
      </c>
      <c r="I37" s="4">
        <v>22.198168065474739</v>
      </c>
      <c r="J37" s="4">
        <v>-15.591723019110139</v>
      </c>
      <c r="K37" s="4475" t="str">
        <f>IF(       0&lt;0.01,"***",IF(       0&lt;0.05,"**",IF(       0&lt;0.1,"*","NS")))</f>
        <v>***</v>
      </c>
      <c r="L37" s="4">
        <v>12.42988363905309</v>
      </c>
      <c r="M37" s="4">
        <v>-25.360007445531185</v>
      </c>
      <c r="N37" s="4476" t="str">
        <f t="shared" si="9"/>
        <v>***</v>
      </c>
      <c r="P37" s="296" t="s">
        <v>5835</v>
      </c>
      <c r="Q37" s="4">
        <v>33.348555730046819</v>
      </c>
      <c r="R37" s="4">
        <v>12.42988363905309</v>
      </c>
      <c r="S37" s="4">
        <v>-20.918672090993748</v>
      </c>
      <c r="T37" s="4477" t="str">
        <f t="shared" si="10"/>
        <v>***</v>
      </c>
    </row>
    <row r="39" spans="1:20" x14ac:dyDescent="0.2">
      <c r="A39" s="296" t="s">
        <v>696</v>
      </c>
      <c r="G39" s="296" t="s">
        <v>800</v>
      </c>
      <c r="P39" s="296" t="s">
        <v>919</v>
      </c>
    </row>
    <row r="40" spans="1:20" s="3" customFormat="1" x14ac:dyDescent="0.2">
      <c r="A40" s="6414" t="s">
        <v>697</v>
      </c>
      <c r="B40" s="6415" t="s">
        <v>698</v>
      </c>
      <c r="C40" s="6416" t="s">
        <v>699</v>
      </c>
      <c r="D40" s="6417" t="s">
        <v>700</v>
      </c>
      <c r="E40" s="6418" t="s">
        <v>701</v>
      </c>
      <c r="G40" s="6419" t="s">
        <v>801</v>
      </c>
      <c r="H40" s="6420" t="s">
        <v>802</v>
      </c>
      <c r="I40" s="6421" t="s">
        <v>803</v>
      </c>
      <c r="J40" s="6422" t="s">
        <v>804</v>
      </c>
      <c r="K40" s="6423" t="s">
        <v>805</v>
      </c>
      <c r="L40" s="6424" t="s">
        <v>868</v>
      </c>
      <c r="M40" s="6425" t="s">
        <v>869</v>
      </c>
      <c r="N40" s="6426" t="s">
        <v>870</v>
      </c>
      <c r="P40" s="6427" t="s">
        <v>920</v>
      </c>
      <c r="Q40" s="6428" t="s">
        <v>921</v>
      </c>
      <c r="R40" s="6429" t="s">
        <v>922</v>
      </c>
      <c r="S40" s="6430" t="s">
        <v>923</v>
      </c>
      <c r="T40" s="6431" t="s">
        <v>924</v>
      </c>
    </row>
    <row r="41" spans="1:20" x14ac:dyDescent="0.2">
      <c r="A41" s="296" t="s">
        <v>702</v>
      </c>
      <c r="B41" s="4">
        <v>42.795743930692332</v>
      </c>
      <c r="C41" s="4">
        <v>35.328226208942048</v>
      </c>
      <c r="D41" s="4">
        <v>-7.4675177217502524</v>
      </c>
      <c r="E41" s="4478" t="str">
        <f>IF(       0.005&lt;0.01,"***",IF(       0.005&lt;0.05,"**",IF(       0.005&lt;0.1,"*","NS")))</f>
        <v>***</v>
      </c>
      <c r="G41" s="296" t="s">
        <v>806</v>
      </c>
      <c r="H41" s="4">
        <v>42.795743930692332</v>
      </c>
      <c r="I41" s="4">
        <v>37.317157557695133</v>
      </c>
      <c r="J41" s="4">
        <v>-5.4785863729971895</v>
      </c>
      <c r="K41" s="4479" t="str">
        <f>IF(       0.059&lt;0.01,"***",IF(       0.059&lt;0.05,"**",IF(       0.059&lt;0.1,"*","NS")))</f>
        <v>*</v>
      </c>
      <c r="L41" s="4">
        <v>26.04943907128186</v>
      </c>
      <c r="M41" s="4">
        <v>-16.746304859410561</v>
      </c>
      <c r="N41" s="4480" t="str">
        <f>IF(       0.014&lt;0.01,"***",IF(       0.014&lt;0.05,"**",IF(       0.014&lt;0.1,"*","NS")))</f>
        <v>**</v>
      </c>
      <c r="P41" s="296" t="s">
        <v>925</v>
      </c>
      <c r="Q41" s="4">
        <v>40.941590454541974</v>
      </c>
      <c r="R41" s="4">
        <v>26.04943907128186</v>
      </c>
      <c r="S41" s="4">
        <v>-14.892151383260247</v>
      </c>
      <c r="T41" s="4481" t="str">
        <f>IF(       0.03&lt;0.01,"***",IF(       0.03&lt;0.05,"**",IF(       0.03&lt;0.1,"*","NS")))</f>
        <v>**</v>
      </c>
    </row>
    <row r="42" spans="1:20" x14ac:dyDescent="0.2">
      <c r="A42" s="296" t="s">
        <v>703</v>
      </c>
      <c r="B42" s="4">
        <v>39.70569626538618</v>
      </c>
      <c r="C42" s="4">
        <v>25.197869571137211</v>
      </c>
      <c r="D42" s="4">
        <v>-14.507826694249102</v>
      </c>
      <c r="E42" s="4482" t="str">
        <f>IF(       0&lt;0.01,"***",IF(       0&lt;0.05,"**",IF(       0&lt;0.1,"*","NS")))</f>
        <v>***</v>
      </c>
      <c r="G42" s="296" t="s">
        <v>807</v>
      </c>
      <c r="H42" s="4">
        <v>39.70569626538618</v>
      </c>
      <c r="I42" s="4">
        <v>27.03756996643077</v>
      </c>
      <c r="J42" s="4">
        <v>-12.668126298955457</v>
      </c>
      <c r="K42" s="4483" t="str">
        <f>IF(       0&lt;0.01,"***",IF(       0&lt;0.05,"**",IF(       0&lt;0.1,"*","NS")))</f>
        <v>***</v>
      </c>
      <c r="L42" s="4">
        <v>20.215715372865301</v>
      </c>
      <c r="M42" s="4">
        <v>-19.489980892520833</v>
      </c>
      <c r="N42" s="4484" t="str">
        <f>IF(       0&lt;0.01,"***",IF(       0&lt;0.05,"**",IF(       0&lt;0.1,"*","NS")))</f>
        <v>***</v>
      </c>
      <c r="P42" s="296" t="s">
        <v>926</v>
      </c>
      <c r="Q42" s="4">
        <v>36.646704909297767</v>
      </c>
      <c r="R42" s="4">
        <v>20.215715372865301</v>
      </c>
      <c r="S42" s="4">
        <v>-16.430989536432467</v>
      </c>
      <c r="T42" s="4485" t="str">
        <f>IF(       0&lt;0.01,"***",IF(       0&lt;0.05,"**",IF(       0&lt;0.1,"*","NS")))</f>
        <v>***</v>
      </c>
    </row>
    <row r="43" spans="1:20" x14ac:dyDescent="0.2">
      <c r="A43" s="296" t="s">
        <v>704</v>
      </c>
      <c r="B43" s="4">
        <v>39.611177743708552</v>
      </c>
      <c r="C43" s="4">
        <v>32.991873001823549</v>
      </c>
      <c r="D43" s="4">
        <v>-6.6193047418850162</v>
      </c>
      <c r="E43" s="4486" t="str">
        <f>IF(       0.08&lt;0.01,"***",IF(       0.08&lt;0.05,"**",IF(       0.08&lt;0.1,"*","NS")))</f>
        <v>*</v>
      </c>
      <c r="G43" s="296" t="s">
        <v>808</v>
      </c>
      <c r="H43" s="4">
        <v>39.611177743708552</v>
      </c>
      <c r="I43" s="4">
        <v>33.58322201790007</v>
      </c>
      <c r="J43" s="4">
        <v>-6.0279557258084369</v>
      </c>
      <c r="K43" s="4487" t="str">
        <f>IF(       0.181&lt;0.01,"***",IF(       0.181&lt;0.05,"**",IF(       0.181&lt;0.1,"*","NS")))</f>
        <v>NS</v>
      </c>
      <c r="L43" s="4">
        <v>30.957893150413341</v>
      </c>
      <c r="M43" s="4">
        <v>-8.6532845932951439</v>
      </c>
      <c r="N43" s="4488" t="str">
        <f>IF(       0.234&lt;0.01,"***",IF(       0.234&lt;0.05,"**",IF(       0.234&lt;0.1,"*","NS")))</f>
        <v>NS</v>
      </c>
      <c r="P43" s="296" t="s">
        <v>927</v>
      </c>
      <c r="Q43" s="4">
        <v>38.189767762508382</v>
      </c>
      <c r="R43" s="4">
        <v>30.957893150413341</v>
      </c>
      <c r="S43" s="4">
        <v>-7.2318746120950479</v>
      </c>
      <c r="T43" s="4489" t="str">
        <f>IF(       0.328&lt;0.01,"***",IF(       0.328&lt;0.05,"**",IF(       0.328&lt;0.1,"*","NS")))</f>
        <v>NS</v>
      </c>
    </row>
    <row r="44" spans="1:20" x14ac:dyDescent="0.2">
      <c r="A44" s="296" t="s">
        <v>705</v>
      </c>
      <c r="B44" s="4">
        <v>40.102285623422723</v>
      </c>
      <c r="C44" s="4">
        <v>32.06057283558409</v>
      </c>
      <c r="D44" s="4">
        <v>-8.0417127878385628</v>
      </c>
      <c r="E44" s="4490" t="str">
        <f>IF(       0.008&lt;0.01,"***",IF(       0.008&lt;0.05,"**",IF(       0.008&lt;0.1,"*","NS")))</f>
        <v>***</v>
      </c>
      <c r="G44" s="296" t="s">
        <v>809</v>
      </c>
      <c r="H44" s="4">
        <v>40.102285623422723</v>
      </c>
      <c r="I44" s="4">
        <v>33.675668966145842</v>
      </c>
      <c r="J44" s="4">
        <v>-6.4266166572769281</v>
      </c>
      <c r="K44" s="4491" t="str">
        <f>IF(       0.056&lt;0.01,"***",IF(       0.056&lt;0.05,"**",IF(       0.056&lt;0.1,"*","NS")))</f>
        <v>*</v>
      </c>
      <c r="L44" s="4">
        <v>25.330733268190279</v>
      </c>
      <c r="M44" s="4">
        <v>-14.771552355232396</v>
      </c>
      <c r="N44" s="4492" t="str">
        <f>IF(       0.01&lt;0.01,"***",IF(       0.01&lt;0.05,"**",IF(       0.01&lt;0.1,"*","NS")))</f>
        <v>**</v>
      </c>
      <c r="P44" s="296" t="s">
        <v>928</v>
      </c>
      <c r="Q44" s="4">
        <v>38.311866450186187</v>
      </c>
      <c r="R44" s="4">
        <v>25.330733268190279</v>
      </c>
      <c r="S44" s="4">
        <v>-12.981133181995954</v>
      </c>
      <c r="T44" s="4493" t="str">
        <f>IF(       0.024&lt;0.01,"***",IF(       0.024&lt;0.05,"**",IF(       0.024&lt;0.1,"*","NS")))</f>
        <v>**</v>
      </c>
    </row>
    <row r="45" spans="1:20" x14ac:dyDescent="0.2">
      <c r="A45" s="296" t="s">
        <v>706</v>
      </c>
      <c r="B45" s="4">
        <v>33.980031925217453</v>
      </c>
      <c r="C45" s="4">
        <v>21.806749712993579</v>
      </c>
      <c r="D45" s="4">
        <v>-12.17328221222396</v>
      </c>
      <c r="E45" s="4494" t="str">
        <f>IF(       0&lt;0.01,"***",IF(       0&lt;0.05,"**",IF(       0&lt;0.1,"*","NS")))</f>
        <v>***</v>
      </c>
      <c r="G45" s="296" t="s">
        <v>810</v>
      </c>
      <c r="H45" s="4">
        <v>33.980031925217453</v>
      </c>
      <c r="I45" s="4">
        <v>22.687629402702228</v>
      </c>
      <c r="J45" s="4">
        <v>-11.292402522515285</v>
      </c>
      <c r="K45" s="4495" t="str">
        <f>IF(       0&lt;0.01,"***",IF(       0&lt;0.05,"**",IF(       0&lt;0.1,"*","NS")))</f>
        <v>***</v>
      </c>
      <c r="L45" s="4">
        <v>17.214113853386699</v>
      </c>
      <c r="M45" s="4">
        <v>-16.765918071830804</v>
      </c>
      <c r="N45" s="4496" t="str">
        <f>IF(       0.002&lt;0.01,"***",IF(       0.002&lt;0.05,"**",IF(       0.002&lt;0.1,"*","NS")))</f>
        <v>***</v>
      </c>
      <c r="P45" s="296" t="s">
        <v>929</v>
      </c>
      <c r="Q45" s="4">
        <v>31.02087495467822</v>
      </c>
      <c r="R45" s="4">
        <v>17.214113853386699</v>
      </c>
      <c r="S45" s="4">
        <v>-13.806761101291448</v>
      </c>
      <c r="T45" s="4497" t="str">
        <f>IF(       0.008&lt;0.01,"***",IF(       0.008&lt;0.05,"**",IF(       0.008&lt;0.1,"*","NS")))</f>
        <v>***</v>
      </c>
    </row>
    <row r="46" spans="1:20" x14ac:dyDescent="0.2">
      <c r="A46" s="296" t="s">
        <v>707</v>
      </c>
      <c r="B46" s="4">
        <v>46.586834878978777</v>
      </c>
      <c r="C46" s="4">
        <v>38.655350879321958</v>
      </c>
      <c r="D46" s="4">
        <v>-7.9314839996567432</v>
      </c>
      <c r="E46" s="4498" t="str">
        <f>IF(       0.004&lt;0.01,"***",IF(       0.004&lt;0.05,"**",IF(       0.004&lt;0.1,"*","NS")))</f>
        <v>***</v>
      </c>
      <c r="G46" s="296" t="s">
        <v>811</v>
      </c>
      <c r="H46" s="4">
        <v>46.586834878978777</v>
      </c>
      <c r="I46" s="4">
        <v>40.396559084532541</v>
      </c>
      <c r="J46" s="4">
        <v>-6.1902757944462383</v>
      </c>
      <c r="K46" s="4499" t="str">
        <f>IF(       0.046&lt;0.01,"***",IF(       0.046&lt;0.05,"**",IF(       0.046&lt;0.1,"*","NS")))</f>
        <v>**</v>
      </c>
      <c r="L46" s="4">
        <v>32.607010487539817</v>
      </c>
      <c r="M46" s="4">
        <v>-13.97982439143895</v>
      </c>
      <c r="N46" s="4500" t="str">
        <f>IF(       0.006&lt;0.01,"***",IF(       0.006&lt;0.05,"**",IF(       0.006&lt;0.1,"*","NS")))</f>
        <v>***</v>
      </c>
      <c r="P46" s="296" t="s">
        <v>930</v>
      </c>
      <c r="Q46" s="4">
        <v>44.903659449265113</v>
      </c>
      <c r="R46" s="4">
        <v>32.607010487539817</v>
      </c>
      <c r="S46" s="4">
        <v>-12.296648961725369</v>
      </c>
      <c r="T46" s="4501" t="str">
        <f>IF(       0.015&lt;0.01,"***",IF(       0.015&lt;0.05,"**",IF(       0.015&lt;0.1,"*","NS")))</f>
        <v>**</v>
      </c>
    </row>
    <row r="47" spans="1:20" x14ac:dyDescent="0.2">
      <c r="A47" s="296" t="s">
        <v>708</v>
      </c>
      <c r="B47" s="4" t="s">
        <v>6067</v>
      </c>
      <c r="C47" s="4" t="s">
        <v>6067</v>
      </c>
      <c r="D47" s="4" t="s">
        <v>6067</v>
      </c>
      <c r="E47" s="4" t="s">
        <v>6067</v>
      </c>
      <c r="G47" s="296" t="s">
        <v>812</v>
      </c>
      <c r="H47" s="4" t="s">
        <v>6067</v>
      </c>
      <c r="I47" s="4" t="s">
        <v>6067</v>
      </c>
      <c r="J47" s="4" t="s">
        <v>6067</v>
      </c>
      <c r="K47" s="4" t="s">
        <v>6067</v>
      </c>
      <c r="L47" s="4" t="s">
        <v>6067</v>
      </c>
      <c r="M47" s="4" t="s">
        <v>6067</v>
      </c>
      <c r="N47" s="4" t="s">
        <v>6067</v>
      </c>
      <c r="P47" s="296" t="s">
        <v>931</v>
      </c>
      <c r="Q47" s="4" t="s">
        <v>6067</v>
      </c>
      <c r="R47" s="4" t="s">
        <v>6067</v>
      </c>
      <c r="S47" s="4" t="s">
        <v>6067</v>
      </c>
      <c r="T47" s="4" t="s">
        <v>6067</v>
      </c>
    </row>
    <row r="48" spans="1:20" x14ac:dyDescent="0.2">
      <c r="A48" s="296" t="s">
        <v>709</v>
      </c>
      <c r="B48" s="4">
        <v>16.657043971832231</v>
      </c>
      <c r="C48" s="4">
        <v>12.66261722026049</v>
      </c>
      <c r="D48" s="4">
        <v>-3.994426751571738</v>
      </c>
      <c r="E48" s="4502" t="str">
        <f>IF(       0.192&lt;0.01,"***",IF(       0.192&lt;0.05,"**",IF(       0.192&lt;0.1,"*","NS")))</f>
        <v>NS</v>
      </c>
      <c r="G48" s="296" t="s">
        <v>813</v>
      </c>
      <c r="H48" s="4">
        <v>16.657043971832231</v>
      </c>
      <c r="I48" s="4">
        <v>13.911256844911859</v>
      </c>
      <c r="J48" s="4">
        <v>-2.7457871269203902</v>
      </c>
      <c r="K48" s="4503" t="str">
        <f>IF(       0.52&lt;0.01,"***",IF(       0.52&lt;0.05,"**",IF(       0.52&lt;0.1,"*","NS")))</f>
        <v>NS</v>
      </c>
      <c r="L48" s="4">
        <v>8.9486842938945941</v>
      </c>
      <c r="M48" s="4">
        <v>-7.7083596779375743</v>
      </c>
      <c r="N48" s="4504" t="str">
        <f>IF(       0.06&lt;0.01,"***",IF(       0.06&lt;0.05,"**",IF(       0.06&lt;0.1,"*","NS")))</f>
        <v>*</v>
      </c>
      <c r="P48" s="296" t="s">
        <v>932</v>
      </c>
      <c r="Q48" s="4">
        <v>16.218090335457461</v>
      </c>
      <c r="R48" s="4">
        <v>8.9486842938945941</v>
      </c>
      <c r="S48" s="4">
        <v>-7.2694060415628678</v>
      </c>
      <c r="T48" s="4505" t="str">
        <f>IF(       0.097&lt;0.01,"***",IF(       0.097&lt;0.05,"**",IF(       0.097&lt;0.1,"*","NS")))</f>
        <v>*</v>
      </c>
    </row>
    <row r="49" spans="1:20" x14ac:dyDescent="0.2">
      <c r="A49" s="296" t="s">
        <v>710</v>
      </c>
      <c r="B49" s="4">
        <v>39.434871778226047</v>
      </c>
      <c r="C49" s="4">
        <v>35.263821624745468</v>
      </c>
      <c r="D49" s="4">
        <v>-4.1710501534806399</v>
      </c>
      <c r="E49" s="4506" t="str">
        <f>IF(       0.15&lt;0.01,"***",IF(       0.15&lt;0.05,"**",IF(       0.15&lt;0.1,"*","NS")))</f>
        <v>NS</v>
      </c>
      <c r="G49" s="296" t="s">
        <v>814</v>
      </c>
      <c r="H49" s="4">
        <v>39.434871778226047</v>
      </c>
      <c r="I49" s="4">
        <v>40.357736432535901</v>
      </c>
      <c r="J49" s="4">
        <v>0.92286465430986064</v>
      </c>
      <c r="K49" s="4507" t="str">
        <f>IF(       0.823&lt;0.01,"***",IF(       0.823&lt;0.05,"**",IF(       0.823&lt;0.1,"*","NS")))</f>
        <v>NS</v>
      </c>
      <c r="L49" s="4">
        <v>26.05855607739025</v>
      </c>
      <c r="M49" s="4">
        <v>-13.376315700835702</v>
      </c>
      <c r="N49" s="4508" t="str">
        <f>IF(       0.002&lt;0.01,"***",IF(       0.002&lt;0.05,"**",IF(       0.002&lt;0.1,"*","NS")))</f>
        <v>***</v>
      </c>
      <c r="P49" s="296" t="s">
        <v>933</v>
      </c>
      <c r="Q49" s="4">
        <v>39.706778059678989</v>
      </c>
      <c r="R49" s="4">
        <v>26.05855607739025</v>
      </c>
      <c r="S49" s="4">
        <v>-13.648221982288867</v>
      </c>
      <c r="T49" s="4509" t="str">
        <f>IF(       0.003&lt;0.01,"***",IF(       0.003&lt;0.05,"**",IF(       0.003&lt;0.1,"*","NS")))</f>
        <v>***</v>
      </c>
    </row>
    <row r="50" spans="1:20" x14ac:dyDescent="0.2">
      <c r="A50" s="296" t="s">
        <v>711</v>
      </c>
      <c r="B50" s="4">
        <v>33.609700711944591</v>
      </c>
      <c r="C50" s="4">
        <v>33.504209699779111</v>
      </c>
      <c r="D50" s="4">
        <v>-0.10549101216548157</v>
      </c>
      <c r="E50" s="4510" t="str">
        <f>IF(       0.964&lt;0.01,"***",IF(       0.964&lt;0.05,"**",IF(       0.964&lt;0.1,"*","NS")))</f>
        <v>NS</v>
      </c>
      <c r="G50" s="296" t="s">
        <v>815</v>
      </c>
      <c r="H50" s="4">
        <v>33.609700711944591</v>
      </c>
      <c r="I50" s="4">
        <v>35.132982935757013</v>
      </c>
      <c r="J50" s="4">
        <v>1.5232822238124153</v>
      </c>
      <c r="K50" s="4511" t="str">
        <f>IF(       0.531&lt;0.01,"***",IF(       0.531&lt;0.05,"**",IF(       0.531&lt;0.1,"*","NS")))</f>
        <v>NS</v>
      </c>
      <c r="L50" s="4">
        <v>28.198819259760171</v>
      </c>
      <c r="M50" s="4">
        <v>-5.4108814521844151</v>
      </c>
      <c r="N50" s="4512" t="str">
        <f>IF(       0.224&lt;0.01,"***",IF(       0.224&lt;0.05,"**",IF(       0.224&lt;0.1,"*","NS")))</f>
        <v>NS</v>
      </c>
      <c r="P50" s="296" t="s">
        <v>934</v>
      </c>
      <c r="Q50" s="4">
        <v>34.166139365756521</v>
      </c>
      <c r="R50" s="4">
        <v>28.198819259760171</v>
      </c>
      <c r="S50" s="4">
        <v>-5.9673201059963263</v>
      </c>
      <c r="T50" s="4513" t="str">
        <f>IF(       0.166&lt;0.01,"***",IF(       0.166&lt;0.05,"**",IF(       0.166&lt;0.1,"*","NS")))</f>
        <v>NS</v>
      </c>
    </row>
    <row r="51" spans="1:20" x14ac:dyDescent="0.2">
      <c r="A51" s="296" t="s">
        <v>712</v>
      </c>
      <c r="B51" s="4">
        <v>47.410510819868499</v>
      </c>
      <c r="C51" s="4">
        <v>36.288823322163239</v>
      </c>
      <c r="D51" s="4">
        <v>-11.12168749770521</v>
      </c>
      <c r="E51" s="4514" t="str">
        <f>IF(       0.002&lt;0.01,"***",IF(       0.002&lt;0.05,"**",IF(       0.002&lt;0.1,"*","NS")))</f>
        <v>***</v>
      </c>
      <c r="G51" s="296" t="s">
        <v>816</v>
      </c>
      <c r="H51" s="4">
        <v>47.410510819868499</v>
      </c>
      <c r="I51" s="4">
        <v>39.098173831153048</v>
      </c>
      <c r="J51" s="4">
        <v>-8.3123369887154634</v>
      </c>
      <c r="K51" s="4515" t="str">
        <f>IF(       0.027&lt;0.01,"***",IF(       0.027&lt;0.05,"**",IF(       0.027&lt;0.1,"*","NS")))</f>
        <v>**</v>
      </c>
      <c r="L51" s="4">
        <v>27.8792436492406</v>
      </c>
      <c r="M51" s="4">
        <v>-19.531267170627906</v>
      </c>
      <c r="N51" s="4516" t="str">
        <f>IF(       0.001&lt;0.01,"***",IF(       0.001&lt;0.05,"**",IF(       0.001&lt;0.1,"*","NS")))</f>
        <v>***</v>
      </c>
      <c r="P51" s="296" t="s">
        <v>935</v>
      </c>
      <c r="Q51" s="4">
        <v>45.617363192351426</v>
      </c>
      <c r="R51" s="4">
        <v>27.8792436492406</v>
      </c>
      <c r="S51" s="4">
        <v>-17.738119543110841</v>
      </c>
      <c r="T51" s="4517" t="str">
        <f>IF(       0.001&lt;0.01,"***",IF(       0.001&lt;0.05,"**",IF(       0.001&lt;0.1,"*","NS")))</f>
        <v>***</v>
      </c>
    </row>
    <row r="52" spans="1:20" x14ac:dyDescent="0.2">
      <c r="A52" s="296" t="s">
        <v>713</v>
      </c>
      <c r="B52" s="4">
        <v>43.417292596299148</v>
      </c>
      <c r="C52" s="4">
        <v>32.230761062847478</v>
      </c>
      <c r="D52" s="4">
        <v>-11.186531533451584</v>
      </c>
      <c r="E52" s="4518" t="str">
        <f>IF(       0&lt;0.01,"***",IF(       0&lt;0.05,"**",IF(       0&lt;0.1,"*","NS")))</f>
        <v>***</v>
      </c>
      <c r="G52" s="296" t="s">
        <v>817</v>
      </c>
      <c r="H52" s="4">
        <v>43.417292596299148</v>
      </c>
      <c r="I52" s="4">
        <v>37.454755655164327</v>
      </c>
      <c r="J52" s="4">
        <v>-5.962536941134795</v>
      </c>
      <c r="K52" s="4519" t="str">
        <f>IF(       0.066&lt;0.01,"***",IF(       0.066&lt;0.05,"**",IF(       0.066&lt;0.1,"*","NS")))</f>
        <v>*</v>
      </c>
      <c r="L52" s="4">
        <v>15.56800678640305</v>
      </c>
      <c r="M52" s="4">
        <v>-27.84928580989606</v>
      </c>
      <c r="N52" s="4520" t="str">
        <f>IF(       0&lt;0.01,"***",IF(       0&lt;0.05,"**",IF(       0&lt;0.1,"*","NS")))</f>
        <v>***</v>
      </c>
      <c r="P52" s="296" t="s">
        <v>936</v>
      </c>
      <c r="Q52" s="4">
        <v>42.230167001322982</v>
      </c>
      <c r="R52" s="4">
        <v>15.56800678640305</v>
      </c>
      <c r="S52" s="4">
        <v>-26.662160214919599</v>
      </c>
      <c r="T52" s="4521" t="str">
        <f>IF(       0&lt;0.01,"***",IF(       0&lt;0.05,"**",IF(       0&lt;0.1,"*","NS")))</f>
        <v>***</v>
      </c>
    </row>
    <row r="53" spans="1:20" x14ac:dyDescent="0.2">
      <c r="A53" s="296" t="s">
        <v>714</v>
      </c>
      <c r="B53" s="4">
        <v>36.794083424771713</v>
      </c>
      <c r="C53" s="4">
        <v>31.104217025402029</v>
      </c>
      <c r="D53" s="4">
        <v>-5.6898663993696941</v>
      </c>
      <c r="E53" s="4522" t="str">
        <f>IF(       0.058&lt;0.01,"***",IF(       0.058&lt;0.05,"**",IF(       0.058&lt;0.1,"*","NS")))</f>
        <v>*</v>
      </c>
      <c r="G53" s="296" t="s">
        <v>818</v>
      </c>
      <c r="H53" s="4">
        <v>36.794083424771713</v>
      </c>
      <c r="I53" s="4">
        <v>31.90181482233114</v>
      </c>
      <c r="J53" s="4">
        <v>-4.8922686024405406</v>
      </c>
      <c r="K53" s="4523" t="str">
        <f>IF(       0.137&lt;0.01,"***",IF(       0.137&lt;0.05,"**",IF(       0.137&lt;0.1,"*","NS")))</f>
        <v>NS</v>
      </c>
      <c r="L53" s="4">
        <v>28.85935132530248</v>
      </c>
      <c r="M53" s="4">
        <v>-7.9347320994692296</v>
      </c>
      <c r="N53" s="4524" t="str">
        <f>IF(       0.106&lt;0.01,"***",IF(       0.106&lt;0.05,"**",IF(       0.106&lt;0.1,"*","NS")))</f>
        <v>NS</v>
      </c>
      <c r="P53" s="296" t="s">
        <v>937</v>
      </c>
      <c r="Q53" s="4">
        <v>35.837100225327873</v>
      </c>
      <c r="R53" s="4">
        <v>28.85935132530248</v>
      </c>
      <c r="S53" s="4">
        <v>-6.9777489000253174</v>
      </c>
      <c r="T53" s="4525" t="str">
        <f>IF(       0.147&lt;0.01,"***",IF(       0.147&lt;0.05,"**",IF(       0.147&lt;0.1,"*","NS")))</f>
        <v>NS</v>
      </c>
    </row>
    <row r="54" spans="1:20" x14ac:dyDescent="0.2">
      <c r="A54" s="296" t="s">
        <v>715</v>
      </c>
      <c r="B54" s="4">
        <v>42.261776354266622</v>
      </c>
      <c r="C54" s="4">
        <v>32.083408304196652</v>
      </c>
      <c r="D54" s="4">
        <v>-10.178368050069839</v>
      </c>
      <c r="E54" s="4526" t="str">
        <f>IF(       0&lt;0.01,"***",IF(       0&lt;0.05,"**",IF(       0&lt;0.1,"*","NS")))</f>
        <v>***</v>
      </c>
      <c r="G54" s="296" t="s">
        <v>819</v>
      </c>
      <c r="H54" s="4">
        <v>42.261776354266622</v>
      </c>
      <c r="I54" s="4">
        <v>35.834616091144852</v>
      </c>
      <c r="J54" s="4">
        <v>-6.4271602631216957</v>
      </c>
      <c r="K54" s="4527" t="str">
        <f>IF(       0.021&lt;0.01,"***",IF(       0.021&lt;0.05,"**",IF(       0.021&lt;0.1,"*","NS")))</f>
        <v>**</v>
      </c>
      <c r="L54" s="4">
        <v>22.70977008000839</v>
      </c>
      <c r="M54" s="4">
        <v>-19.552006274258435</v>
      </c>
      <c r="N54" s="4528" t="str">
        <f>IF(       0&lt;0.01,"***",IF(       0&lt;0.05,"**",IF(       0&lt;0.1,"*","NS")))</f>
        <v>***</v>
      </c>
      <c r="P54" s="296" t="s">
        <v>938</v>
      </c>
      <c r="Q54" s="4">
        <v>40.191286016269743</v>
      </c>
      <c r="R54" s="4">
        <v>22.70977008000839</v>
      </c>
      <c r="S54" s="4">
        <v>-17.481515936261403</v>
      </c>
      <c r="T54" s="4529" t="str">
        <f>IF(       0&lt;0.01,"***",IF(       0&lt;0.05,"**",IF(       0&lt;0.1,"*","NS")))</f>
        <v>***</v>
      </c>
    </row>
    <row r="55" spans="1:20" x14ac:dyDescent="0.2">
      <c r="A55" s="296" t="s">
        <v>716</v>
      </c>
      <c r="B55" s="4">
        <v>33.417092199059113</v>
      </c>
      <c r="C55" s="4">
        <v>33.115028234061917</v>
      </c>
      <c r="D55" s="4">
        <v>-0.30206396499717947</v>
      </c>
      <c r="E55" s="4530" t="str">
        <f>IF(       0.909&lt;0.01,"***",IF(       0.909&lt;0.05,"**",IF(       0.909&lt;0.1,"*","NS")))</f>
        <v>NS</v>
      </c>
      <c r="G55" s="296" t="s">
        <v>820</v>
      </c>
      <c r="H55" s="4">
        <v>33.417092199059113</v>
      </c>
      <c r="I55" s="4">
        <v>34.056245546520103</v>
      </c>
      <c r="J55" s="4">
        <v>0.6391533474609874</v>
      </c>
      <c r="K55" s="4531" t="str">
        <f>IF(       0.821&lt;0.01,"***",IF(       0.821&lt;0.05,"**",IF(       0.821&lt;0.1,"*","NS")))</f>
        <v>NS</v>
      </c>
      <c r="L55" s="4">
        <v>30.54918049037104</v>
      </c>
      <c r="M55" s="4">
        <v>-2.8679117086881369</v>
      </c>
      <c r="N55" s="4532" t="str">
        <f>IF(       0.619&lt;0.01,"***",IF(       0.619&lt;0.05,"**",IF(       0.619&lt;0.1,"*","NS")))</f>
        <v>NS</v>
      </c>
      <c r="P55" s="296" t="s">
        <v>939</v>
      </c>
      <c r="Q55" s="4">
        <v>33.571867368312702</v>
      </c>
      <c r="R55" s="4">
        <v>30.54918049037104</v>
      </c>
      <c r="S55" s="4">
        <v>-3.0226868779416778</v>
      </c>
      <c r="T55" s="4533" t="str">
        <f>IF(       0.602&lt;0.01,"***",IF(       0.602&lt;0.05,"**",IF(       0.602&lt;0.1,"*","NS")))</f>
        <v>NS</v>
      </c>
    </row>
    <row r="56" spans="1:20" x14ac:dyDescent="0.2">
      <c r="A56" s="296" t="s">
        <v>5835</v>
      </c>
      <c r="B56" s="4">
        <v>40.739480127807859</v>
      </c>
      <c r="C56" s="4">
        <v>32.530330914646683</v>
      </c>
      <c r="D56" s="4">
        <v>-8.2091492131609183</v>
      </c>
      <c r="E56" s="4534" t="str">
        <f>IF(       0&lt;0.01,"***",IF(       0&lt;0.05,"**",IF(       0&lt;0.1,"*","NS")))</f>
        <v>***</v>
      </c>
      <c r="G56" s="296" t="s">
        <v>5835</v>
      </c>
      <c r="H56" s="4">
        <v>40.739480127807859</v>
      </c>
      <c r="I56" s="4">
        <v>34.859824630253073</v>
      </c>
      <c r="J56" s="4">
        <v>-5.8796554975548538</v>
      </c>
      <c r="K56" s="4535" t="str">
        <f>IF(       0&lt;0.01,"***",IF(       0&lt;0.05,"**",IF(       0&lt;0.1,"*","NS")))</f>
        <v>***</v>
      </c>
      <c r="L56" s="4">
        <v>25.176225151541729</v>
      </c>
      <c r="M56" s="4">
        <v>-15.563254976266107</v>
      </c>
      <c r="N56" s="4536" t="str">
        <f>IF(       0&lt;0.01,"***",IF(       0&lt;0.05,"**",IF(       0&lt;0.1,"*","NS")))</f>
        <v>***</v>
      </c>
      <c r="P56" s="296" t="s">
        <v>5835</v>
      </c>
      <c r="Q56" s="4">
        <v>39.273555145967613</v>
      </c>
      <c r="R56" s="4">
        <v>25.176225151541729</v>
      </c>
      <c r="S56" s="4">
        <v>-14.097329994425587</v>
      </c>
      <c r="T56" s="4537" t="str">
        <f>IF(       0&lt;0.01,"***",IF(       0&lt;0.05,"**",IF(       0&lt;0.1,"*","NS")))</f>
        <v>***</v>
      </c>
    </row>
    <row r="58" spans="1:20" x14ac:dyDescent="0.2">
      <c r="A58" s="296" t="s">
        <v>717</v>
      </c>
      <c r="G58" s="296" t="s">
        <v>821</v>
      </c>
      <c r="P58" s="296" t="s">
        <v>940</v>
      </c>
    </row>
    <row r="59" spans="1:20" s="3" customFormat="1" x14ac:dyDescent="0.2">
      <c r="A59" s="6432" t="s">
        <v>718</v>
      </c>
      <c r="B59" s="6433" t="s">
        <v>719</v>
      </c>
      <c r="C59" s="6434" t="s">
        <v>720</v>
      </c>
      <c r="D59" s="6435" t="s">
        <v>721</v>
      </c>
      <c r="E59" s="6436" t="s">
        <v>722</v>
      </c>
      <c r="G59" s="6437" t="s">
        <v>822</v>
      </c>
      <c r="H59" s="6438" t="s">
        <v>823</v>
      </c>
      <c r="I59" s="6439" t="s">
        <v>824</v>
      </c>
      <c r="J59" s="6440" t="s">
        <v>825</v>
      </c>
      <c r="K59" s="6441" t="s">
        <v>826</v>
      </c>
      <c r="L59" s="6442" t="s">
        <v>871</v>
      </c>
      <c r="M59" s="6443" t="s">
        <v>872</v>
      </c>
      <c r="N59" s="6444" t="s">
        <v>873</v>
      </c>
      <c r="P59" s="6445" t="s">
        <v>941</v>
      </c>
      <c r="Q59" s="6446" t="s">
        <v>942</v>
      </c>
      <c r="R59" s="6447" t="s">
        <v>943</v>
      </c>
      <c r="S59" s="6448" t="s">
        <v>944</v>
      </c>
      <c r="T59" s="6449" t="s">
        <v>945</v>
      </c>
    </row>
    <row r="60" spans="1:20" x14ac:dyDescent="0.2">
      <c r="A60" s="296" t="s">
        <v>723</v>
      </c>
      <c r="B60" s="4">
        <v>32.512924523391128</v>
      </c>
      <c r="C60" s="4">
        <v>20.916678513110291</v>
      </c>
      <c r="D60" s="4">
        <v>-11.596246010280858</v>
      </c>
      <c r="E60" s="4538" t="str">
        <f t="shared" ref="E60:E73" si="11">IF(       0&lt;0.01,"***",IF(       0&lt;0.05,"**",IF(       0&lt;0.1,"*","NS")))</f>
        <v>***</v>
      </c>
      <c r="G60" s="296" t="s">
        <v>827</v>
      </c>
      <c r="H60" s="4">
        <v>32.512924523391128</v>
      </c>
      <c r="I60" s="4">
        <v>23.122548720644922</v>
      </c>
      <c r="J60" s="4">
        <v>-9.3903758027462327</v>
      </c>
      <c r="K60" s="4539" t="str">
        <f>IF(       0&lt;0.01,"***",IF(       0&lt;0.05,"**",IF(       0&lt;0.1,"*","NS")))</f>
        <v>***</v>
      </c>
      <c r="L60" s="4">
        <v>12.174077872462879</v>
      </c>
      <c r="M60" s="4">
        <v>-20.338846650928463</v>
      </c>
      <c r="N60" s="4540" t="str">
        <f>IF(       0&lt;0.01,"***",IF(       0&lt;0.05,"**",IF(       0&lt;0.1,"*","NS")))</f>
        <v>***</v>
      </c>
      <c r="P60" s="296" t="s">
        <v>946</v>
      </c>
      <c r="Q60" s="4">
        <v>29.039959390543011</v>
      </c>
      <c r="R60" s="4">
        <v>12.174077872462879</v>
      </c>
      <c r="S60" s="4">
        <v>-16.865881518079696</v>
      </c>
      <c r="T60" s="4541" t="str">
        <f>IF(       0&lt;0.01,"***",IF(       0&lt;0.05,"**",IF(       0&lt;0.1,"*","NS")))</f>
        <v>***</v>
      </c>
    </row>
    <row r="61" spans="1:20" x14ac:dyDescent="0.2">
      <c r="A61" s="296" t="s">
        <v>724</v>
      </c>
      <c r="B61" s="4">
        <v>39.709221409582319</v>
      </c>
      <c r="C61" s="4">
        <v>20.520219797829011</v>
      </c>
      <c r="D61" s="4">
        <v>-19.189001611752992</v>
      </c>
      <c r="E61" s="4542" t="str">
        <f t="shared" si="11"/>
        <v>***</v>
      </c>
      <c r="G61" s="296" t="s">
        <v>828</v>
      </c>
      <c r="H61" s="4">
        <v>39.709221409582319</v>
      </c>
      <c r="I61" s="4">
        <v>23.177785436253341</v>
      </c>
      <c r="J61" s="4">
        <v>-16.531435973328772</v>
      </c>
      <c r="K61" s="4543" t="str">
        <f>IF(       0&lt;0.01,"***",IF(       0&lt;0.05,"**",IF(       0&lt;0.1,"*","NS")))</f>
        <v>***</v>
      </c>
      <c r="L61" s="4">
        <v>13.57727560551985</v>
      </c>
      <c r="M61" s="4">
        <v>-26.131945804062187</v>
      </c>
      <c r="N61" s="4544" t="str">
        <f>IF(       0&lt;0.01,"***",IF(       0&lt;0.05,"**",IF(       0&lt;0.1,"*","NS")))</f>
        <v>***</v>
      </c>
      <c r="P61" s="296" t="s">
        <v>947</v>
      </c>
      <c r="Q61" s="4">
        <v>34.588536773480797</v>
      </c>
      <c r="R61" s="4">
        <v>13.57727560551985</v>
      </c>
      <c r="S61" s="4">
        <v>-21.011261167960747</v>
      </c>
      <c r="T61" s="4545" t="str">
        <f>IF(       0&lt;0.01,"***",IF(       0&lt;0.05,"**",IF(       0&lt;0.1,"*","NS")))</f>
        <v>***</v>
      </c>
    </row>
    <row r="62" spans="1:20" x14ac:dyDescent="0.2">
      <c r="A62" s="296" t="s">
        <v>725</v>
      </c>
      <c r="B62" s="4">
        <v>38.525395350819757</v>
      </c>
      <c r="C62" s="4">
        <v>23.763475424904591</v>
      </c>
      <c r="D62" s="4">
        <v>-14.761919925915265</v>
      </c>
      <c r="E62" s="4546" t="str">
        <f t="shared" si="11"/>
        <v>***</v>
      </c>
      <c r="G62" s="296" t="s">
        <v>829</v>
      </c>
      <c r="H62" s="4">
        <v>38.525395350819757</v>
      </c>
      <c r="I62" s="4">
        <v>24.559208520955721</v>
      </c>
      <c r="J62" s="4">
        <v>-13.96618682986419</v>
      </c>
      <c r="K62" s="4547" t="str">
        <f>IF(       0&lt;0.01,"***",IF(       0&lt;0.05,"**",IF(       0&lt;0.1,"*","NS")))</f>
        <v>***</v>
      </c>
      <c r="L62" s="4">
        <v>21.411286694725241</v>
      </c>
      <c r="M62" s="4">
        <v>-17.114108656094459</v>
      </c>
      <c r="N62" s="4548" t="str">
        <f>IF(       0.001&lt;0.01,"***",IF(       0.001&lt;0.05,"**",IF(       0.001&lt;0.1,"*","NS")))</f>
        <v>***</v>
      </c>
      <c r="P62" s="296" t="s">
        <v>948</v>
      </c>
      <c r="Q62" s="4">
        <v>34.977931305763008</v>
      </c>
      <c r="R62" s="4">
        <v>21.411286694725241</v>
      </c>
      <c r="S62" s="4">
        <v>-13.566644611037795</v>
      </c>
      <c r="T62" s="4549" t="str">
        <f>IF(       0.006&lt;0.01,"***",IF(       0.006&lt;0.05,"**",IF(       0.006&lt;0.1,"*","NS")))</f>
        <v>***</v>
      </c>
    </row>
    <row r="63" spans="1:20" x14ac:dyDescent="0.2">
      <c r="A63" s="296" t="s">
        <v>726</v>
      </c>
      <c r="B63" s="4">
        <v>34.187170009528799</v>
      </c>
      <c r="C63" s="4">
        <v>23.355994442200469</v>
      </c>
      <c r="D63" s="4">
        <v>-10.831175567328271</v>
      </c>
      <c r="E63" s="4550" t="str">
        <f t="shared" si="11"/>
        <v>***</v>
      </c>
      <c r="G63" s="296" t="s">
        <v>830</v>
      </c>
      <c r="H63" s="4">
        <v>34.187170009528799</v>
      </c>
      <c r="I63" s="4">
        <v>25.303147822493521</v>
      </c>
      <c r="J63" s="4">
        <v>-8.8840221870352263</v>
      </c>
      <c r="K63" s="4551" t="str">
        <f>IF(       0&lt;0.01,"***",IF(       0&lt;0.05,"**",IF(       0&lt;0.1,"*","NS")))</f>
        <v>***</v>
      </c>
      <c r="L63" s="4">
        <v>16.34027904685119</v>
      </c>
      <c r="M63" s="4">
        <v>-17.846890962677442</v>
      </c>
      <c r="N63" s="4552" t="str">
        <f>IF(       0&lt;0.01,"***",IF(       0&lt;0.05,"**",IF(       0&lt;0.1,"*","NS")))</f>
        <v>***</v>
      </c>
      <c r="P63" s="296" t="s">
        <v>949</v>
      </c>
      <c r="Q63" s="4">
        <v>31.498520509260619</v>
      </c>
      <c r="R63" s="4">
        <v>16.34027904685119</v>
      </c>
      <c r="S63" s="4">
        <v>-15.158241462409558</v>
      </c>
      <c r="T63" s="4553" t="str">
        <f>IF(       0&lt;0.01,"***",IF(       0&lt;0.05,"**",IF(       0&lt;0.1,"*","NS")))</f>
        <v>***</v>
      </c>
    </row>
    <row r="64" spans="1:20" x14ac:dyDescent="0.2">
      <c r="A64" s="296" t="s">
        <v>727</v>
      </c>
      <c r="B64" s="4">
        <v>28.317013963347311</v>
      </c>
      <c r="C64" s="4">
        <v>18.013299189128869</v>
      </c>
      <c r="D64" s="4">
        <v>-10.30371477421849</v>
      </c>
      <c r="E64" s="4554" t="str">
        <f t="shared" si="11"/>
        <v>***</v>
      </c>
      <c r="G64" s="296" t="s">
        <v>831</v>
      </c>
      <c r="H64" s="4">
        <v>28.317013963347311</v>
      </c>
      <c r="I64" s="4">
        <v>19.832655890712392</v>
      </c>
      <c r="J64" s="4">
        <v>-8.4843580726349188</v>
      </c>
      <c r="K64" s="4555" t="str">
        <f>IF(       0.002&lt;0.01,"***",IF(       0.002&lt;0.05,"**",IF(       0.002&lt;0.1,"*","NS")))</f>
        <v>***</v>
      </c>
      <c r="L64" s="4">
        <v>9.3904851765402011</v>
      </c>
      <c r="M64" s="4">
        <v>-18.926528786807062</v>
      </c>
      <c r="N64" s="4556" t="str">
        <f>IF(       0&lt;0.01,"***",IF(       0&lt;0.05,"**",IF(       0&lt;0.1,"*","NS")))</f>
        <v>***</v>
      </c>
      <c r="P64" s="296" t="s">
        <v>950</v>
      </c>
      <c r="Q64" s="4">
        <v>25.953374937933152</v>
      </c>
      <c r="R64" s="4">
        <v>9.3904851765402011</v>
      </c>
      <c r="S64" s="4">
        <v>-16.562889761392832</v>
      </c>
      <c r="T64" s="4557" t="str">
        <f>IF(       0&lt;0.01,"***",IF(       0&lt;0.05,"**",IF(       0&lt;0.1,"*","NS")))</f>
        <v>***</v>
      </c>
    </row>
    <row r="65" spans="1:20" x14ac:dyDescent="0.2">
      <c r="A65" s="296" t="s">
        <v>728</v>
      </c>
      <c r="B65" s="4">
        <v>45.785409585299902</v>
      </c>
      <c r="C65" s="4">
        <v>29.37503556301322</v>
      </c>
      <c r="D65" s="4">
        <v>-16.410374022286284</v>
      </c>
      <c r="E65" s="4558" t="str">
        <f t="shared" si="11"/>
        <v>***</v>
      </c>
      <c r="G65" s="296" t="s">
        <v>832</v>
      </c>
      <c r="H65" s="4">
        <v>45.785409585299902</v>
      </c>
      <c r="I65" s="4">
        <v>32.111156488253123</v>
      </c>
      <c r="J65" s="4">
        <v>-13.674253097046662</v>
      </c>
      <c r="K65" s="4559" t="str">
        <f>IF(       0&lt;0.01,"***",IF(       0&lt;0.05,"**",IF(       0&lt;0.1,"*","NS")))</f>
        <v>***</v>
      </c>
      <c r="L65" s="4">
        <v>20.94352336313468</v>
      </c>
      <c r="M65" s="4">
        <v>-24.841886222165297</v>
      </c>
      <c r="N65" s="4560" t="str">
        <f>IF(       0&lt;0.01,"***",IF(       0&lt;0.05,"**",IF(       0&lt;0.1,"*","NS")))</f>
        <v>***</v>
      </c>
      <c r="P65" s="296" t="s">
        <v>951</v>
      </c>
      <c r="Q65" s="4">
        <v>41.764026718644601</v>
      </c>
      <c r="R65" s="4">
        <v>20.94352336313468</v>
      </c>
      <c r="S65" s="4">
        <v>-20.820503355509874</v>
      </c>
      <c r="T65" s="4561" t="str">
        <f>IF(       0&lt;0.01,"***",IF(       0&lt;0.05,"**",IF(       0&lt;0.1,"*","NS")))</f>
        <v>***</v>
      </c>
    </row>
    <row r="66" spans="1:20" x14ac:dyDescent="0.2">
      <c r="A66" s="296" t="s">
        <v>12</v>
      </c>
      <c r="B66" s="4" t="s">
        <v>6067</v>
      </c>
      <c r="C66" s="4" t="s">
        <v>6067</v>
      </c>
      <c r="D66" s="4" t="s">
        <v>6067</v>
      </c>
      <c r="E66" s="4" t="s">
        <v>6067</v>
      </c>
      <c r="G66" s="296" t="s">
        <v>12</v>
      </c>
      <c r="H66" s="4" t="s">
        <v>6067</v>
      </c>
      <c r="I66" s="4" t="s">
        <v>6067</v>
      </c>
      <c r="J66" s="4" t="s">
        <v>6067</v>
      </c>
      <c r="K66" s="4" t="s">
        <v>6067</v>
      </c>
      <c r="L66" s="4" t="s">
        <v>6067</v>
      </c>
      <c r="M66" s="4" t="s">
        <v>6067</v>
      </c>
      <c r="N66" s="4" t="s">
        <v>6067</v>
      </c>
      <c r="P66" s="296" t="s">
        <v>12</v>
      </c>
      <c r="Q66" s="4" t="s">
        <v>6067</v>
      </c>
      <c r="R66" s="4" t="s">
        <v>6067</v>
      </c>
      <c r="S66" s="4" t="s">
        <v>6067</v>
      </c>
      <c r="T66" s="4" t="s">
        <v>6067</v>
      </c>
    </row>
    <row r="67" spans="1:20" x14ac:dyDescent="0.2">
      <c r="A67" s="296" t="s">
        <v>729</v>
      </c>
      <c r="B67" s="4">
        <v>12.687840170279539</v>
      </c>
      <c r="C67" s="4">
        <v>7.4209071112495169</v>
      </c>
      <c r="D67" s="4">
        <v>-5.2669330590299923</v>
      </c>
      <c r="E67" s="4562" t="str">
        <f t="shared" si="11"/>
        <v>***</v>
      </c>
      <c r="G67" s="296" t="s">
        <v>833</v>
      </c>
      <c r="H67" s="4">
        <v>12.687840170279539</v>
      </c>
      <c r="I67" s="4">
        <v>7.9014340787083901</v>
      </c>
      <c r="J67" s="4">
        <v>-4.7864060915711617</v>
      </c>
      <c r="K67" s="4563" t="str">
        <f>IF(       0.003&lt;0.01,"***",IF(       0.003&lt;0.05,"**",IF(       0.003&lt;0.1,"*","NS")))</f>
        <v>***</v>
      </c>
      <c r="L67" s="4">
        <v>5.95298211029559</v>
      </c>
      <c r="M67" s="4">
        <v>-6.7348580599838908</v>
      </c>
      <c r="N67" s="4564" t="str">
        <f>IF(       0.012&lt;0.01,"***",IF(       0.012&lt;0.05,"**",IF(       0.012&lt;0.1,"*","NS")))</f>
        <v>**</v>
      </c>
      <c r="P67" s="296" t="s">
        <v>952</v>
      </c>
      <c r="Q67" s="4">
        <v>11.821514108865239</v>
      </c>
      <c r="R67" s="4">
        <v>5.95298211029559</v>
      </c>
      <c r="S67" s="4">
        <v>-5.8685319985696385</v>
      </c>
      <c r="T67" s="4565" t="str">
        <f>IF(       0.027&lt;0.01,"***",IF(       0.027&lt;0.05,"**",IF(       0.027&lt;0.1,"*","NS")))</f>
        <v>**</v>
      </c>
    </row>
    <row r="68" spans="1:20" x14ac:dyDescent="0.2">
      <c r="A68" s="296" t="s">
        <v>730</v>
      </c>
      <c r="B68" s="4">
        <v>36.916548619391229</v>
      </c>
      <c r="C68" s="4">
        <v>22.905019783528669</v>
      </c>
      <c r="D68" s="4">
        <v>-14.011528835862745</v>
      </c>
      <c r="E68" s="4566" t="str">
        <f t="shared" si="11"/>
        <v>***</v>
      </c>
      <c r="G68" s="296" t="s">
        <v>834</v>
      </c>
      <c r="H68" s="4">
        <v>36.916548619391229</v>
      </c>
      <c r="I68" s="4">
        <v>26.417261891709408</v>
      </c>
      <c r="J68" s="4">
        <v>-10.499286727681808</v>
      </c>
      <c r="K68" s="4567" t="str">
        <f>IF(       0&lt;0.01,"***",IF(       0&lt;0.05,"**",IF(       0&lt;0.1,"*","NS")))</f>
        <v>***</v>
      </c>
      <c r="L68" s="4">
        <v>17.45148095074433</v>
      </c>
      <c r="M68" s="4">
        <v>-19.465067668647102</v>
      </c>
      <c r="N68" s="4568" t="str">
        <f>IF(       0&lt;0.01,"***",IF(       0&lt;0.05,"**",IF(       0&lt;0.1,"*","NS")))</f>
        <v>***</v>
      </c>
      <c r="P68" s="296" t="s">
        <v>953</v>
      </c>
      <c r="Q68" s="4">
        <v>33.182475450331467</v>
      </c>
      <c r="R68" s="4">
        <v>17.45148095074433</v>
      </c>
      <c r="S68" s="4">
        <v>-15.730994499587005</v>
      </c>
      <c r="T68" s="4569" t="str">
        <f>IF(       0&lt;0.01,"***",IF(       0&lt;0.05,"**",IF(       0&lt;0.1,"*","NS")))</f>
        <v>***</v>
      </c>
    </row>
    <row r="69" spans="1:20" x14ac:dyDescent="0.2">
      <c r="A69" s="296" t="s">
        <v>731</v>
      </c>
      <c r="B69" s="4">
        <v>28.29772555444422</v>
      </c>
      <c r="C69" s="4">
        <v>22.642509881893979</v>
      </c>
      <c r="D69" s="4">
        <v>-5.6552156725502325</v>
      </c>
      <c r="E69" s="4570" t="str">
        <f t="shared" si="11"/>
        <v>***</v>
      </c>
      <c r="G69" s="296" t="s">
        <v>835</v>
      </c>
      <c r="H69" s="4">
        <v>28.29772555444422</v>
      </c>
      <c r="I69" s="4">
        <v>24.18355371197303</v>
      </c>
      <c r="J69" s="4">
        <v>-4.1141718424712526</v>
      </c>
      <c r="K69" s="4571" t="str">
        <f>IF(       0.009&lt;0.01,"***",IF(       0.009&lt;0.05,"**",IF(       0.009&lt;0.1,"*","NS")))</f>
        <v>***</v>
      </c>
      <c r="L69" s="4">
        <v>17.571461846780078</v>
      </c>
      <c r="M69" s="4">
        <v>-10.726263707664158</v>
      </c>
      <c r="N69" s="4572" t="str">
        <f>IF(       0.001&lt;0.01,"***",IF(       0.001&lt;0.05,"**",IF(       0.001&lt;0.1,"*","NS")))</f>
        <v>***</v>
      </c>
      <c r="P69" s="296" t="s">
        <v>954</v>
      </c>
      <c r="Q69" s="4">
        <v>26.707746337398891</v>
      </c>
      <c r="R69" s="4">
        <v>17.571461846780078</v>
      </c>
      <c r="S69" s="4">
        <v>-9.1362844906188787</v>
      </c>
      <c r="T69" s="4573" t="str">
        <f>IF(       0.003&lt;0.01,"***",IF(       0.003&lt;0.05,"**",IF(       0.003&lt;0.1,"*","NS")))</f>
        <v>***</v>
      </c>
    </row>
    <row r="70" spans="1:20" x14ac:dyDescent="0.2">
      <c r="A70" s="296" t="s">
        <v>732</v>
      </c>
      <c r="B70" s="4">
        <v>45.616145568643482</v>
      </c>
      <c r="C70" s="4">
        <v>26.910612286998141</v>
      </c>
      <c r="D70" s="4">
        <v>-18.705533281645092</v>
      </c>
      <c r="E70" s="4574" t="str">
        <f t="shared" si="11"/>
        <v>***</v>
      </c>
      <c r="G70" s="296" t="s">
        <v>836</v>
      </c>
      <c r="H70" s="4">
        <v>45.616145568643482</v>
      </c>
      <c r="I70" s="4">
        <v>29.139732560776672</v>
      </c>
      <c r="J70" s="4">
        <v>-16.47641300786659</v>
      </c>
      <c r="K70" s="4575" t="str">
        <f>IF(       0&lt;0.01,"***",IF(       0&lt;0.05,"**",IF(       0&lt;0.1,"*","NS")))</f>
        <v>***</v>
      </c>
      <c r="L70" s="4">
        <v>20.631799512984681</v>
      </c>
      <c r="M70" s="4">
        <v>-24.984346055658801</v>
      </c>
      <c r="N70" s="4576" t="str">
        <f>IF(       0&lt;0.01,"***",IF(       0&lt;0.05,"**",IF(       0&lt;0.1,"*","NS")))</f>
        <v>***</v>
      </c>
      <c r="P70" s="296" t="s">
        <v>955</v>
      </c>
      <c r="Q70" s="4">
        <v>41.286468663292617</v>
      </c>
      <c r="R70" s="4">
        <v>20.631799512984681</v>
      </c>
      <c r="S70" s="4">
        <v>-20.654669150307654</v>
      </c>
      <c r="T70" s="4577" t="str">
        <f>IF(       0&lt;0.01,"***",IF(       0&lt;0.05,"**",IF(       0&lt;0.1,"*","NS")))</f>
        <v>***</v>
      </c>
    </row>
    <row r="71" spans="1:20" x14ac:dyDescent="0.2">
      <c r="A71" s="296" t="s">
        <v>733</v>
      </c>
      <c r="B71" s="4">
        <v>43.395729679106488</v>
      </c>
      <c r="C71" s="4">
        <v>24.088754170830459</v>
      </c>
      <c r="D71" s="4">
        <v>-19.306975508275581</v>
      </c>
      <c r="E71" s="4578" t="str">
        <f t="shared" si="11"/>
        <v>***</v>
      </c>
      <c r="G71" s="296" t="s">
        <v>837</v>
      </c>
      <c r="H71" s="4">
        <v>43.395729679106488</v>
      </c>
      <c r="I71" s="4">
        <v>28.8001302568127</v>
      </c>
      <c r="J71" s="4">
        <v>-14.595599422293624</v>
      </c>
      <c r="K71" s="4579" t="str">
        <f>IF(       0&lt;0.01,"***",IF(       0&lt;0.05,"**",IF(       0&lt;0.1,"*","NS")))</f>
        <v>***</v>
      </c>
      <c r="L71" s="4">
        <v>12.32037699985835</v>
      </c>
      <c r="M71" s="4">
        <v>-31.075352679248297</v>
      </c>
      <c r="N71" s="4580" t="str">
        <f>IF(       0&lt;0.01,"***",IF(       0&lt;0.05,"**",IF(       0&lt;0.1,"*","NS")))</f>
        <v>***</v>
      </c>
      <c r="P71" s="296" t="s">
        <v>956</v>
      </c>
      <c r="Q71" s="4">
        <v>39.789761665328392</v>
      </c>
      <c r="R71" s="4">
        <v>12.32037699985835</v>
      </c>
      <c r="S71" s="4">
        <v>-27.469384665469526</v>
      </c>
      <c r="T71" s="4581" t="str">
        <f>IF(       0&lt;0.01,"***",IF(       0&lt;0.05,"**",IF(       0&lt;0.1,"*","NS")))</f>
        <v>***</v>
      </c>
    </row>
    <row r="72" spans="1:20" x14ac:dyDescent="0.2">
      <c r="A72" s="296" t="s">
        <v>734</v>
      </c>
      <c r="B72" s="4">
        <v>31.65881037579916</v>
      </c>
      <c r="C72" s="4">
        <v>20.784550005367301</v>
      </c>
      <c r="D72" s="4">
        <v>-10.874260370431758</v>
      </c>
      <c r="E72" s="4582" t="str">
        <f t="shared" si="11"/>
        <v>***</v>
      </c>
      <c r="G72" s="296" t="s">
        <v>838</v>
      </c>
      <c r="H72" s="4">
        <v>31.65881037579916</v>
      </c>
      <c r="I72" s="4">
        <v>22.97254984572313</v>
      </c>
      <c r="J72" s="4">
        <v>-8.6862605300759679</v>
      </c>
      <c r="K72" s="4583" t="str">
        <f>IF(       0&lt;0.01,"***",IF(       0&lt;0.05,"**",IF(       0&lt;0.1,"*","NS")))</f>
        <v>***</v>
      </c>
      <c r="L72" s="4">
        <v>14.132725182809139</v>
      </c>
      <c r="M72" s="4">
        <v>-17.526085192989715</v>
      </c>
      <c r="N72" s="4584" t="str">
        <f>IF(       0&lt;0.01,"***",IF(       0&lt;0.05,"**",IF(       0&lt;0.1,"*","NS")))</f>
        <v>***</v>
      </c>
      <c r="P72" s="296" t="s">
        <v>957</v>
      </c>
      <c r="Q72" s="4">
        <v>29.598949957553948</v>
      </c>
      <c r="R72" s="4">
        <v>14.132725182809139</v>
      </c>
      <c r="S72" s="4">
        <v>-15.466224774744752</v>
      </c>
      <c r="T72" s="4585" t="str">
        <f>IF(       0&lt;0.01,"***",IF(       0&lt;0.05,"**",IF(       0&lt;0.1,"*","NS")))</f>
        <v>***</v>
      </c>
    </row>
    <row r="73" spans="1:20" x14ac:dyDescent="0.2">
      <c r="A73" s="296" t="s">
        <v>735</v>
      </c>
      <c r="B73" s="4">
        <v>38.690001394932601</v>
      </c>
      <c r="C73" s="4">
        <v>23.87010959205486</v>
      </c>
      <c r="D73" s="4">
        <v>-14.819891802877729</v>
      </c>
      <c r="E73" s="4586" t="str">
        <f t="shared" si="11"/>
        <v>***</v>
      </c>
      <c r="G73" s="296" t="s">
        <v>839</v>
      </c>
      <c r="H73" s="4">
        <v>38.690001394932601</v>
      </c>
      <c r="I73" s="4">
        <v>27.559371249604261</v>
      </c>
      <c r="J73" s="4">
        <v>-11.130630145328322</v>
      </c>
      <c r="K73" s="4587" t="str">
        <f>IF(       0&lt;0.01,"***",IF(       0&lt;0.05,"**",IF(       0&lt;0.1,"*","NS")))</f>
        <v>***</v>
      </c>
      <c r="L73" s="4">
        <v>15.597745755544221</v>
      </c>
      <c r="M73" s="4">
        <v>-23.092255639388071</v>
      </c>
      <c r="N73" s="4588" t="str">
        <f>IF(       0&lt;0.01,"***",IF(       0&lt;0.05,"**",IF(       0&lt;0.1,"*","NS")))</f>
        <v>***</v>
      </c>
      <c r="P73" s="296" t="s">
        <v>958</v>
      </c>
      <c r="Q73" s="4">
        <v>34.913448626431261</v>
      </c>
      <c r="R73" s="4">
        <v>15.597745755544221</v>
      </c>
      <c r="S73" s="4">
        <v>-19.315702870886575</v>
      </c>
      <c r="T73" s="4589" t="str">
        <f>IF(       0&lt;0.01,"***",IF(       0&lt;0.05,"**",IF(       0&lt;0.1,"*","NS")))</f>
        <v>***</v>
      </c>
    </row>
    <row r="74" spans="1:20" x14ac:dyDescent="0.2">
      <c r="A74" s="296" t="s">
        <v>736</v>
      </c>
      <c r="B74" s="4">
        <v>24.734576864294599</v>
      </c>
      <c r="C74" s="4">
        <v>19.554462973900119</v>
      </c>
      <c r="D74" s="4">
        <v>-5.1801138903944537</v>
      </c>
      <c r="E74" s="4590" t="str">
        <f>IF(       0.022&lt;0.01,"***",IF(       0.022&lt;0.05,"**",IF(       0.022&lt;0.1,"*","NS")))</f>
        <v>**</v>
      </c>
      <c r="G74" s="296" t="s">
        <v>840</v>
      </c>
      <c r="H74" s="4">
        <v>24.734576864294599</v>
      </c>
      <c r="I74" s="4">
        <v>20.933017532367149</v>
      </c>
      <c r="J74" s="4">
        <v>-3.8015593319274834</v>
      </c>
      <c r="K74" s="4591" t="str">
        <f>IF(       0.084&lt;0.01,"***",IF(       0.084&lt;0.05,"**",IF(       0.084&lt;0.1,"*","NS")))</f>
        <v>*</v>
      </c>
      <c r="L74" s="4">
        <v>14.985434748945639</v>
      </c>
      <c r="M74" s="4">
        <v>-9.7491421153489455</v>
      </c>
      <c r="N74" s="4592" t="str">
        <f>IF(       0.004&lt;0.01,"***",IF(       0.004&lt;0.05,"**",IF(       0.004&lt;0.1,"*","NS")))</f>
        <v>***</v>
      </c>
      <c r="P74" s="296" t="s">
        <v>959</v>
      </c>
      <c r="Q74" s="4">
        <v>23.700902055749399</v>
      </c>
      <c r="R74" s="4">
        <v>14.985434748945639</v>
      </c>
      <c r="S74" s="4">
        <v>-8.7154673068036104</v>
      </c>
      <c r="T74" s="4593" t="str">
        <f>IF(       0.005&lt;0.01,"***",IF(       0.005&lt;0.05,"**",IF(       0.005&lt;0.1,"*","NS")))</f>
        <v>***</v>
      </c>
    </row>
    <row r="75" spans="1:20" x14ac:dyDescent="0.2">
      <c r="A75" s="296" t="s">
        <v>5835</v>
      </c>
      <c r="B75" s="4">
        <v>36.387652066473379</v>
      </c>
      <c r="C75" s="4">
        <v>23.02784221259471</v>
      </c>
      <c r="D75" s="4">
        <v>-13.359809853878184</v>
      </c>
      <c r="E75" s="4594" t="str">
        <f>IF(       0&lt;0.01,"***",IF(       0&lt;0.05,"**",IF(       0&lt;0.1,"*","NS")))</f>
        <v>***</v>
      </c>
      <c r="G75" s="296" t="s">
        <v>5835</v>
      </c>
      <c r="H75" s="4">
        <v>36.387652066473379</v>
      </c>
      <c r="I75" s="4">
        <v>25.438069739550741</v>
      </c>
      <c r="J75" s="4">
        <v>-10.949582326922679</v>
      </c>
      <c r="K75" s="4595" t="str">
        <f>IF(       0&lt;0.01,"***",IF(       0&lt;0.05,"**",IF(       0&lt;0.1,"*","NS")))</f>
        <v>***</v>
      </c>
      <c r="L75" s="4">
        <v>16.102391038061111</v>
      </c>
      <c r="M75" s="4">
        <v>-20.285261028412418</v>
      </c>
      <c r="N75" s="4596" t="str">
        <f>IF(       0&lt;0.01,"***",IF(       0&lt;0.05,"**",IF(       0&lt;0.1,"*","NS")))</f>
        <v>***</v>
      </c>
      <c r="P75" s="296" t="s">
        <v>5835</v>
      </c>
      <c r="Q75" s="4">
        <v>33.192943900423657</v>
      </c>
      <c r="R75" s="4">
        <v>16.102391038061111</v>
      </c>
      <c r="S75" s="4">
        <v>-17.09055286236223</v>
      </c>
      <c r="T75" s="4597" t="str">
        <f>IF(       0&lt;0.01,"***",IF(       0&lt;0.05,"**",IF(       0&lt;0.1,"*","NS")))</f>
        <v>***</v>
      </c>
    </row>
    <row r="77" spans="1:20" x14ac:dyDescent="0.2">
      <c r="A77" s="296" t="s">
        <v>737</v>
      </c>
      <c r="G77" s="296" t="s">
        <v>841</v>
      </c>
      <c r="P77" s="296" t="s">
        <v>960</v>
      </c>
    </row>
    <row r="78" spans="1:20" s="3" customFormat="1" x14ac:dyDescent="0.2">
      <c r="A78" s="6450" t="s">
        <v>738</v>
      </c>
      <c r="B78" s="6451" t="s">
        <v>739</v>
      </c>
      <c r="C78" s="6452" t="s">
        <v>740</v>
      </c>
      <c r="D78" s="6453" t="s">
        <v>741</v>
      </c>
      <c r="E78" s="6454" t="s">
        <v>742</v>
      </c>
      <c r="G78" s="6455" t="s">
        <v>842</v>
      </c>
      <c r="H78" s="6456" t="s">
        <v>843</v>
      </c>
      <c r="I78" s="6457" t="s">
        <v>844</v>
      </c>
      <c r="J78" s="6458" t="s">
        <v>845</v>
      </c>
      <c r="K78" s="6459" t="s">
        <v>846</v>
      </c>
      <c r="L78" s="6460" t="s">
        <v>874</v>
      </c>
      <c r="M78" s="6461" t="s">
        <v>875</v>
      </c>
      <c r="N78" s="6462" t="s">
        <v>876</v>
      </c>
      <c r="P78" s="6463" t="s">
        <v>961</v>
      </c>
      <c r="Q78" s="6464" t="s">
        <v>962</v>
      </c>
      <c r="R78" s="6465" t="s">
        <v>963</v>
      </c>
      <c r="S78" s="6466" t="s">
        <v>964</v>
      </c>
      <c r="T78" s="6467" t="s">
        <v>965</v>
      </c>
    </row>
    <row r="79" spans="1:20" x14ac:dyDescent="0.2">
      <c r="A79" s="296" t="s">
        <v>743</v>
      </c>
      <c r="B79" s="4" t="s">
        <v>6067</v>
      </c>
      <c r="C79" s="4" t="s">
        <v>6067</v>
      </c>
      <c r="D79" s="4" t="s">
        <v>6067</v>
      </c>
      <c r="E79" s="4" t="s">
        <v>6067</v>
      </c>
      <c r="G79" s="296" t="s">
        <v>847</v>
      </c>
      <c r="H79" s="4" t="s">
        <v>6067</v>
      </c>
      <c r="I79" s="4" t="s">
        <v>6067</v>
      </c>
      <c r="J79" s="4" t="s">
        <v>6067</v>
      </c>
      <c r="K79" s="4" t="s">
        <v>6067</v>
      </c>
      <c r="L79" s="4" t="s">
        <v>6067</v>
      </c>
      <c r="M79" s="4" t="s">
        <v>6067</v>
      </c>
      <c r="N79" s="4" t="s">
        <v>6067</v>
      </c>
      <c r="P79" s="296" t="s">
        <v>966</v>
      </c>
      <c r="Q79" s="4" t="s">
        <v>6067</v>
      </c>
      <c r="R79" s="4" t="s">
        <v>6067</v>
      </c>
      <c r="S79" s="4" t="s">
        <v>6067</v>
      </c>
      <c r="T79" s="4" t="s">
        <v>6067</v>
      </c>
    </row>
    <row r="80" spans="1:20" x14ac:dyDescent="0.2">
      <c r="A80" s="296" t="s">
        <v>744</v>
      </c>
      <c r="B80" s="4">
        <v>43.612762316675017</v>
      </c>
      <c r="C80" s="4">
        <v>26.71956491657135</v>
      </c>
      <c r="D80" s="4">
        <v>-16.893197400103478</v>
      </c>
      <c r="E80" s="4598" t="str">
        <f>IF(       0.019&lt;0.01,"***",IF(       0.019&lt;0.05,"**",IF(       0.019&lt;0.1,"*","NS")))</f>
        <v>**</v>
      </c>
      <c r="G80" s="296" t="s">
        <v>848</v>
      </c>
      <c r="H80" s="4">
        <v>43.612762316675017</v>
      </c>
      <c r="I80" s="4">
        <v>31.000140903486539</v>
      </c>
      <c r="J80" s="4">
        <v>-12.612621413188476</v>
      </c>
      <c r="K80" s="4599" t="str">
        <f>IF(       0.102&lt;0.01,"***",IF(       0.102&lt;0.05,"**",IF(       0.102&lt;0.1,"*","NS")))</f>
        <v>NS</v>
      </c>
      <c r="L80" s="4">
        <v>15.3602465650375</v>
      </c>
      <c r="M80" s="4">
        <v>-28.25251575163762</v>
      </c>
      <c r="N80" s="4600" t="str">
        <f>IF(       0&lt;0.01,"***",IF(       0&lt;0.05,"**",IF(       0&lt;0.1,"*","NS")))</f>
        <v>***</v>
      </c>
      <c r="P80" s="296" t="s">
        <v>967</v>
      </c>
      <c r="Q80" s="4">
        <v>40.665657016964808</v>
      </c>
      <c r="R80" s="4">
        <v>15.3602465650375</v>
      </c>
      <c r="S80" s="4">
        <v>-25.30541045192733</v>
      </c>
      <c r="T80" s="4601" t="str">
        <f>IF(       0&lt;0.01,"***",IF(       0&lt;0.05,"**",IF(       0&lt;0.1,"*","NS")))</f>
        <v>***</v>
      </c>
    </row>
    <row r="81" spans="1:20" x14ac:dyDescent="0.2">
      <c r="A81" s="296" t="s">
        <v>745</v>
      </c>
      <c r="B81" s="4" t="s">
        <v>6067</v>
      </c>
      <c r="C81" s="4" t="s">
        <v>6067</v>
      </c>
      <c r="D81" s="4" t="s">
        <v>6067</v>
      </c>
      <c r="E81" s="4" t="s">
        <v>6067</v>
      </c>
      <c r="G81" s="296" t="s">
        <v>849</v>
      </c>
      <c r="H81" s="4" t="s">
        <v>6067</v>
      </c>
      <c r="I81" s="4" t="s">
        <v>6067</v>
      </c>
      <c r="J81" s="4" t="s">
        <v>6067</v>
      </c>
      <c r="K81" s="4" t="s">
        <v>6067</v>
      </c>
      <c r="L81" s="4" t="s">
        <v>6067</v>
      </c>
      <c r="M81" s="4" t="s">
        <v>6067</v>
      </c>
      <c r="N81" s="4" t="s">
        <v>6067</v>
      </c>
      <c r="P81" s="296" t="s">
        <v>968</v>
      </c>
      <c r="Q81" s="4" t="s">
        <v>6067</v>
      </c>
      <c r="R81" s="4" t="s">
        <v>6067</v>
      </c>
      <c r="S81" s="4" t="s">
        <v>6067</v>
      </c>
      <c r="T81" s="4" t="s">
        <v>6067</v>
      </c>
    </row>
    <row r="82" spans="1:20" x14ac:dyDescent="0.2">
      <c r="A82" s="296" t="s">
        <v>746</v>
      </c>
      <c r="B82" s="4" t="s">
        <v>6067</v>
      </c>
      <c r="C82" s="4" t="s">
        <v>6067</v>
      </c>
      <c r="D82" s="4" t="s">
        <v>6067</v>
      </c>
      <c r="E82" s="4" t="s">
        <v>6067</v>
      </c>
      <c r="G82" s="296" t="s">
        <v>850</v>
      </c>
      <c r="H82" s="4" t="s">
        <v>6067</v>
      </c>
      <c r="I82" s="4" t="s">
        <v>6067</v>
      </c>
      <c r="J82" s="4" t="s">
        <v>6067</v>
      </c>
      <c r="K82" s="4" t="s">
        <v>6067</v>
      </c>
      <c r="L82" s="4" t="s">
        <v>6067</v>
      </c>
      <c r="M82" s="4" t="s">
        <v>6067</v>
      </c>
      <c r="N82" s="4" t="s">
        <v>6067</v>
      </c>
      <c r="P82" s="296" t="s">
        <v>969</v>
      </c>
      <c r="Q82" s="4" t="s">
        <v>6067</v>
      </c>
      <c r="R82" s="4" t="s">
        <v>6067</v>
      </c>
      <c r="S82" s="4" t="s">
        <v>6067</v>
      </c>
      <c r="T82" s="4" t="s">
        <v>6067</v>
      </c>
    </row>
    <row r="83" spans="1:20" x14ac:dyDescent="0.2">
      <c r="A83" s="296" t="s">
        <v>747</v>
      </c>
      <c r="B83" s="4" t="s">
        <v>6067</v>
      </c>
      <c r="C83" s="4" t="s">
        <v>6067</v>
      </c>
      <c r="D83" s="4" t="s">
        <v>6067</v>
      </c>
      <c r="E83" s="4" t="s">
        <v>6067</v>
      </c>
      <c r="G83" s="296" t="s">
        <v>851</v>
      </c>
      <c r="H83" s="4" t="s">
        <v>6067</v>
      </c>
      <c r="I83" s="4" t="s">
        <v>6067</v>
      </c>
      <c r="J83" s="4" t="s">
        <v>6067</v>
      </c>
      <c r="K83" s="4" t="s">
        <v>6067</v>
      </c>
      <c r="L83" s="4" t="s">
        <v>6067</v>
      </c>
      <c r="M83" s="4" t="s">
        <v>6067</v>
      </c>
      <c r="N83" s="4" t="s">
        <v>6067</v>
      </c>
      <c r="P83" s="296" t="s">
        <v>970</v>
      </c>
      <c r="Q83" s="4" t="s">
        <v>6067</v>
      </c>
      <c r="R83" s="4" t="s">
        <v>6067</v>
      </c>
      <c r="S83" s="4" t="s">
        <v>6067</v>
      </c>
      <c r="T83" s="4" t="s">
        <v>6067</v>
      </c>
    </row>
    <row r="84" spans="1:20" x14ac:dyDescent="0.2">
      <c r="A84" s="296" t="s">
        <v>748</v>
      </c>
      <c r="B84" s="4" t="s">
        <v>6067</v>
      </c>
      <c r="C84" s="4" t="s">
        <v>6067</v>
      </c>
      <c r="D84" s="4" t="s">
        <v>6067</v>
      </c>
      <c r="E84" s="4" t="s">
        <v>6067</v>
      </c>
      <c r="G84" s="296" t="s">
        <v>852</v>
      </c>
      <c r="H84" s="4" t="s">
        <v>6067</v>
      </c>
      <c r="I84" s="4" t="s">
        <v>6067</v>
      </c>
      <c r="J84" s="4" t="s">
        <v>6067</v>
      </c>
      <c r="K84" s="4" t="s">
        <v>6067</v>
      </c>
      <c r="L84" s="4" t="s">
        <v>6067</v>
      </c>
      <c r="M84" s="4" t="s">
        <v>6067</v>
      </c>
      <c r="N84" s="4" t="s">
        <v>6067</v>
      </c>
      <c r="P84" s="296" t="s">
        <v>971</v>
      </c>
      <c r="Q84" s="4" t="s">
        <v>6067</v>
      </c>
      <c r="R84" s="4" t="s">
        <v>6067</v>
      </c>
      <c r="S84" s="4" t="s">
        <v>6067</v>
      </c>
      <c r="T84" s="4" t="s">
        <v>6067</v>
      </c>
    </row>
    <row r="85" spans="1:20" x14ac:dyDescent="0.2">
      <c r="A85" s="296" t="s">
        <v>749</v>
      </c>
      <c r="B85" s="4">
        <v>49.484088831604602</v>
      </c>
      <c r="C85" s="4">
        <v>43.35926992324503</v>
      </c>
      <c r="D85" s="4">
        <v>-6.1248189083594413</v>
      </c>
      <c r="E85" s="4602" t="str">
        <f>IF(       0.031&lt;0.01,"***",IF(       0.031&lt;0.05,"**",IF(       0.031&lt;0.1,"*","NS")))</f>
        <v>**</v>
      </c>
      <c r="G85" s="296" t="s">
        <v>853</v>
      </c>
      <c r="H85" s="4">
        <v>49.484088831604602</v>
      </c>
      <c r="I85" s="4">
        <v>44.919311145124148</v>
      </c>
      <c r="J85" s="4">
        <v>-4.5647776864804746</v>
      </c>
      <c r="K85" s="4603" t="str">
        <f>IF(       0.17&lt;0.01,"***",IF(       0.17&lt;0.05,"**",IF(       0.17&lt;0.1,"*","NS")))</f>
        <v>NS</v>
      </c>
      <c r="L85" s="4">
        <v>35.999555263679717</v>
      </c>
      <c r="M85" s="4">
        <v>-13.484533567924663</v>
      </c>
      <c r="N85" s="4604" t="str">
        <f>IF(       0.015&lt;0.01,"***",IF(       0.015&lt;0.05,"**",IF(       0.015&lt;0.1,"*","NS")))</f>
        <v>**</v>
      </c>
      <c r="P85" s="296" t="s">
        <v>972</v>
      </c>
      <c r="Q85" s="4">
        <v>48.800677669869792</v>
      </c>
      <c r="R85" s="4">
        <v>35.999555263679717</v>
      </c>
      <c r="S85" s="4">
        <v>-12.801122406190313</v>
      </c>
      <c r="T85" s="4605" t="str">
        <f>IF(       0.023&lt;0.01,"***",IF(       0.023&lt;0.05,"**",IF(       0.023&lt;0.1,"*","NS")))</f>
        <v>**</v>
      </c>
    </row>
    <row r="86" spans="1:20" x14ac:dyDescent="0.2">
      <c r="A86" s="296" t="s">
        <v>750</v>
      </c>
      <c r="B86" s="4" t="s">
        <v>6067</v>
      </c>
      <c r="C86" s="4" t="s">
        <v>6067</v>
      </c>
      <c r="D86" s="4" t="s">
        <v>6067</v>
      </c>
      <c r="E86" s="4" t="s">
        <v>6067</v>
      </c>
      <c r="G86" s="296" t="s">
        <v>854</v>
      </c>
      <c r="H86" s="4" t="s">
        <v>6067</v>
      </c>
      <c r="I86" s="4" t="s">
        <v>6067</v>
      </c>
      <c r="J86" s="4" t="s">
        <v>6067</v>
      </c>
      <c r="K86" s="4" t="s">
        <v>6067</v>
      </c>
      <c r="L86" s="4" t="s">
        <v>6067</v>
      </c>
      <c r="M86" s="4" t="s">
        <v>6067</v>
      </c>
      <c r="N86" s="4" t="s">
        <v>6067</v>
      </c>
      <c r="P86" s="296" t="s">
        <v>973</v>
      </c>
      <c r="Q86" s="4" t="s">
        <v>6067</v>
      </c>
      <c r="R86" s="4" t="s">
        <v>6067</v>
      </c>
      <c r="S86" s="4" t="s">
        <v>6067</v>
      </c>
      <c r="T86" s="4" t="s">
        <v>6067</v>
      </c>
    </row>
    <row r="87" spans="1:20" x14ac:dyDescent="0.2">
      <c r="A87" s="296" t="s">
        <v>751</v>
      </c>
      <c r="B87" s="4" t="s">
        <v>6067</v>
      </c>
      <c r="C87" s="4" t="s">
        <v>6067</v>
      </c>
      <c r="D87" s="4" t="s">
        <v>6067</v>
      </c>
      <c r="E87" s="4" t="s">
        <v>6067</v>
      </c>
      <c r="G87" s="296" t="s">
        <v>855</v>
      </c>
      <c r="H87" s="4" t="s">
        <v>6067</v>
      </c>
      <c r="I87" s="4" t="s">
        <v>6067</v>
      </c>
      <c r="J87" s="4" t="s">
        <v>6067</v>
      </c>
      <c r="K87" s="4" t="s">
        <v>6067</v>
      </c>
      <c r="L87" s="4" t="s">
        <v>6067</v>
      </c>
      <c r="M87" s="4" t="s">
        <v>6067</v>
      </c>
      <c r="N87" s="4" t="s">
        <v>6067</v>
      </c>
      <c r="P87" s="296" t="s">
        <v>974</v>
      </c>
      <c r="Q87" s="4" t="s">
        <v>6067</v>
      </c>
      <c r="R87" s="4" t="s">
        <v>6067</v>
      </c>
      <c r="S87" s="4" t="s">
        <v>6067</v>
      </c>
      <c r="T87" s="4" t="s">
        <v>6067</v>
      </c>
    </row>
    <row r="88" spans="1:20" x14ac:dyDescent="0.2">
      <c r="A88" s="296" t="s">
        <v>752</v>
      </c>
      <c r="B88" s="4" t="s">
        <v>6067</v>
      </c>
      <c r="C88" s="4" t="s">
        <v>6067</v>
      </c>
      <c r="D88" s="4" t="s">
        <v>6067</v>
      </c>
      <c r="E88" s="4" t="s">
        <v>6067</v>
      </c>
      <c r="G88" s="296" t="s">
        <v>856</v>
      </c>
      <c r="H88" s="4" t="s">
        <v>6067</v>
      </c>
      <c r="I88" s="4" t="s">
        <v>6067</v>
      </c>
      <c r="J88" s="4" t="s">
        <v>6067</v>
      </c>
      <c r="K88" s="4" t="s">
        <v>6067</v>
      </c>
      <c r="L88" s="4" t="s">
        <v>6067</v>
      </c>
      <c r="M88" s="4" t="s">
        <v>6067</v>
      </c>
      <c r="N88" s="4" t="s">
        <v>6067</v>
      </c>
      <c r="P88" s="296" t="s">
        <v>975</v>
      </c>
      <c r="Q88" s="4" t="s">
        <v>6067</v>
      </c>
      <c r="R88" s="4" t="s">
        <v>6067</v>
      </c>
      <c r="S88" s="4" t="s">
        <v>6067</v>
      </c>
      <c r="T88" s="4" t="s">
        <v>6067</v>
      </c>
    </row>
    <row r="89" spans="1:20" x14ac:dyDescent="0.2">
      <c r="A89" s="296" t="s">
        <v>753</v>
      </c>
      <c r="B89" s="4">
        <v>47.656283227101333</v>
      </c>
      <c r="C89" s="4">
        <v>35.958396882449073</v>
      </c>
      <c r="D89" s="4">
        <v>-11.697886344652325</v>
      </c>
      <c r="E89" s="4606" t="str">
        <f>IF(       0.073&lt;0.01,"***",IF(       0.073&lt;0.05,"**",IF(       0.073&lt;0.1,"*","NS")))</f>
        <v>*</v>
      </c>
      <c r="G89" s="296" t="s">
        <v>857</v>
      </c>
      <c r="H89" s="4">
        <v>47.656283227101333</v>
      </c>
      <c r="I89" s="4">
        <v>38.450641285534161</v>
      </c>
      <c r="J89" s="4">
        <v>-9.2056419415670998</v>
      </c>
      <c r="K89" s="4607" t="str">
        <f>IF(       0.135&lt;0.01,"***",IF(       0.135&lt;0.05,"**",IF(       0.135&lt;0.1,"*","NS")))</f>
        <v>NS</v>
      </c>
      <c r="L89" s="4">
        <v>29.202913904474549</v>
      </c>
      <c r="M89" s="4">
        <v>-18.453369322626845</v>
      </c>
      <c r="N89" s="4608" t="str">
        <f>IF(       0.032&lt;0.01,"***",IF(       0.032&lt;0.05,"**",IF(       0.032&lt;0.1,"*","NS")))</f>
        <v>**</v>
      </c>
      <c r="P89" s="296" t="s">
        <v>976</v>
      </c>
      <c r="Q89" s="4">
        <v>46.011569316939109</v>
      </c>
      <c r="R89" s="4">
        <v>29.202913904474549</v>
      </c>
      <c r="S89" s="4">
        <v>-16.808655412464326</v>
      </c>
      <c r="T89" s="4609" t="str">
        <f>IF(       0.028&lt;0.01,"***",IF(       0.028&lt;0.05,"**",IF(       0.028&lt;0.1,"*","NS")))</f>
        <v>**</v>
      </c>
    </row>
    <row r="90" spans="1:20" x14ac:dyDescent="0.2">
      <c r="A90" s="296" t="s">
        <v>754</v>
      </c>
      <c r="B90" s="4" t="s">
        <v>6067</v>
      </c>
      <c r="C90" s="4" t="s">
        <v>6067</v>
      </c>
      <c r="D90" s="4" t="s">
        <v>6067</v>
      </c>
      <c r="E90" s="4" t="s">
        <v>6067</v>
      </c>
      <c r="G90" s="296" t="s">
        <v>858</v>
      </c>
      <c r="H90" s="4" t="s">
        <v>6067</v>
      </c>
      <c r="I90" s="4" t="s">
        <v>6067</v>
      </c>
      <c r="J90" s="4" t="s">
        <v>6067</v>
      </c>
      <c r="K90" s="4" t="s">
        <v>6067</v>
      </c>
      <c r="L90" s="4" t="s">
        <v>6067</v>
      </c>
      <c r="M90" s="4" t="s">
        <v>6067</v>
      </c>
      <c r="N90" s="4" t="s">
        <v>6067</v>
      </c>
      <c r="P90" s="296" t="s">
        <v>977</v>
      </c>
      <c r="Q90" s="4" t="s">
        <v>6067</v>
      </c>
      <c r="R90" s="4" t="s">
        <v>6067</v>
      </c>
      <c r="S90" s="4" t="s">
        <v>6067</v>
      </c>
      <c r="T90" s="4" t="s">
        <v>6067</v>
      </c>
    </row>
    <row r="91" spans="1:20" x14ac:dyDescent="0.2">
      <c r="A91" s="296" t="s">
        <v>755</v>
      </c>
      <c r="B91" s="4" t="s">
        <v>6067</v>
      </c>
      <c r="C91" s="4" t="s">
        <v>6067</v>
      </c>
      <c r="D91" s="4" t="s">
        <v>6067</v>
      </c>
      <c r="E91" s="4" t="s">
        <v>6067</v>
      </c>
      <c r="G91" s="296" t="s">
        <v>859</v>
      </c>
      <c r="H91" s="4" t="s">
        <v>6067</v>
      </c>
      <c r="I91" s="4" t="s">
        <v>6067</v>
      </c>
      <c r="J91" s="4" t="s">
        <v>6067</v>
      </c>
      <c r="K91" s="4" t="s">
        <v>6067</v>
      </c>
      <c r="L91" s="4" t="s">
        <v>6067</v>
      </c>
      <c r="M91" s="4" t="s">
        <v>6067</v>
      </c>
      <c r="N91" s="4" t="s">
        <v>6067</v>
      </c>
      <c r="P91" s="296" t="s">
        <v>978</v>
      </c>
      <c r="Q91" s="4" t="s">
        <v>6067</v>
      </c>
      <c r="R91" s="4" t="s">
        <v>6067</v>
      </c>
      <c r="S91" s="4" t="s">
        <v>6067</v>
      </c>
      <c r="T91" s="4" t="s">
        <v>6067</v>
      </c>
    </row>
    <row r="92" spans="1:20" x14ac:dyDescent="0.2">
      <c r="A92" s="296" t="s">
        <v>756</v>
      </c>
      <c r="B92" s="4">
        <v>46.819192057538388</v>
      </c>
      <c r="C92" s="4">
        <v>28.778768061068291</v>
      </c>
      <c r="D92" s="4">
        <v>-18.040423996470043</v>
      </c>
      <c r="E92" s="4610" t="str">
        <f>IF(       0.003&lt;0.01,"***",IF(       0.003&lt;0.05,"**",IF(       0.003&lt;0.1,"*","NS")))</f>
        <v>***</v>
      </c>
      <c r="G92" s="296" t="s">
        <v>860</v>
      </c>
      <c r="H92" s="4">
        <v>46.819192057538388</v>
      </c>
      <c r="I92" s="4">
        <v>32.992971357196609</v>
      </c>
      <c r="J92" s="4">
        <v>-13.826220700341882</v>
      </c>
      <c r="K92" s="4611" t="str">
        <f>IF(       0.002&lt;0.01,"***",IF(       0.002&lt;0.05,"**",IF(       0.002&lt;0.1,"*","NS")))</f>
        <v>***</v>
      </c>
      <c r="L92" s="4">
        <v>19.749710159811791</v>
      </c>
      <c r="M92" s="4">
        <v>-27.069481897726664</v>
      </c>
      <c r="N92" s="4612" t="str">
        <f>IF(       0.007&lt;0.01,"***",IF(       0.007&lt;0.05,"**",IF(       0.007&lt;0.1,"*","NS")))</f>
        <v>***</v>
      </c>
      <c r="P92" s="296" t="s">
        <v>979</v>
      </c>
      <c r="Q92" s="4">
        <v>42.811553235100739</v>
      </c>
      <c r="R92" s="4">
        <v>19.749710159811791</v>
      </c>
      <c r="S92" s="4">
        <v>-23.061843075288959</v>
      </c>
      <c r="T92" s="4613" t="str">
        <f>IF(       0.014&lt;0.01,"***",IF(       0.014&lt;0.05,"**",IF(       0.014&lt;0.1,"*","NS")))</f>
        <v>**</v>
      </c>
    </row>
    <row r="93" spans="1:20" x14ac:dyDescent="0.2">
      <c r="A93" s="296" t="s">
        <v>757</v>
      </c>
      <c r="B93" s="4" t="s">
        <v>6067</v>
      </c>
      <c r="C93" s="4" t="s">
        <v>6067</v>
      </c>
      <c r="D93" s="4" t="s">
        <v>6067</v>
      </c>
      <c r="E93" s="4" t="s">
        <v>6067</v>
      </c>
      <c r="G93" s="296" t="s">
        <v>861</v>
      </c>
      <c r="H93" s="4" t="s">
        <v>6067</v>
      </c>
      <c r="I93" s="4" t="s">
        <v>6067</v>
      </c>
      <c r="J93" s="4" t="s">
        <v>6067</v>
      </c>
      <c r="K93" s="4" t="s">
        <v>6067</v>
      </c>
      <c r="L93" s="4" t="s">
        <v>6067</v>
      </c>
      <c r="M93" s="4" t="s">
        <v>6067</v>
      </c>
      <c r="N93" s="4" t="s">
        <v>6067</v>
      </c>
      <c r="P93" s="296" t="s">
        <v>980</v>
      </c>
      <c r="Q93" s="4" t="s">
        <v>6067</v>
      </c>
      <c r="R93" s="4" t="s">
        <v>6067</v>
      </c>
      <c r="S93" s="4" t="s">
        <v>6067</v>
      </c>
      <c r="T93" s="4" t="s">
        <v>6067</v>
      </c>
    </row>
    <row r="94" spans="1:20" x14ac:dyDescent="0.2">
      <c r="A94" s="296" t="s">
        <v>5835</v>
      </c>
      <c r="B94" s="4">
        <v>46.616615123625323</v>
      </c>
      <c r="C94" s="4">
        <v>35.266769085232127</v>
      </c>
      <c r="D94" s="4">
        <v>-11.349846038393244</v>
      </c>
      <c r="E94" s="4614" t="str">
        <f>IF(       0&lt;0.01,"***",IF(       0&lt;0.05,"**",IF(       0&lt;0.1,"*","NS")))</f>
        <v>***</v>
      </c>
      <c r="G94" s="296" t="s">
        <v>5835</v>
      </c>
      <c r="H94" s="4">
        <v>46.616615123625323</v>
      </c>
      <c r="I94" s="4">
        <v>37.991724486569183</v>
      </c>
      <c r="J94" s="4">
        <v>-8.6248906370562874</v>
      </c>
      <c r="K94" s="4615" t="str">
        <f>IF(       0&lt;0.01,"***",IF(       0&lt;0.05,"**",IF(       0&lt;0.1,"*","NS")))</f>
        <v>***</v>
      </c>
      <c r="L94" s="4">
        <v>25.971820234848501</v>
      </c>
      <c r="M94" s="4">
        <v>-20.644794888777025</v>
      </c>
      <c r="N94" s="4616" t="str">
        <f>IF(       0&lt;0.01,"***",IF(       0&lt;0.05,"**",IF(       0&lt;0.1,"*","NS")))</f>
        <v>***</v>
      </c>
      <c r="P94" s="296" t="s">
        <v>5835</v>
      </c>
      <c r="Q94" s="4">
        <v>44.910000556458677</v>
      </c>
      <c r="R94" s="4">
        <v>25.971820234848501</v>
      </c>
      <c r="S94" s="4">
        <v>-18.938180321609966</v>
      </c>
      <c r="T94" s="4617" t="str">
        <f>IF(       0&lt;0.01,"***",IF(       0&lt;0.05,"**",IF(       0&lt;0.1,"*","NS")))</f>
        <v>***</v>
      </c>
    </row>
    <row r="96" spans="1:20" x14ac:dyDescent="0.2">
      <c r="A96" s="296" t="s">
        <v>5753</v>
      </c>
      <c r="G96" s="296" t="s">
        <v>5754</v>
      </c>
      <c r="P96" s="296" t="s">
        <v>5755</v>
      </c>
    </row>
    <row r="97" spans="1:20" s="3" customFormat="1" x14ac:dyDescent="0.2">
      <c r="A97" s="6468" t="s">
        <v>4175</v>
      </c>
      <c r="B97" s="6469" t="s">
        <v>4176</v>
      </c>
      <c r="C97" s="6470" t="s">
        <v>4177</v>
      </c>
      <c r="D97" s="6471" t="s">
        <v>4178</v>
      </c>
      <c r="E97" s="6472" t="s">
        <v>4179</v>
      </c>
      <c r="G97" s="6473" t="s">
        <v>4215</v>
      </c>
      <c r="H97" s="6474" t="s">
        <v>4216</v>
      </c>
      <c r="I97" s="6475" t="s">
        <v>4217</v>
      </c>
      <c r="J97" s="6476" t="s">
        <v>4218</v>
      </c>
      <c r="K97" s="6477" t="s">
        <v>4219</v>
      </c>
      <c r="L97" s="6478" t="s">
        <v>4255</v>
      </c>
      <c r="M97" s="6479" t="s">
        <v>4256</v>
      </c>
      <c r="N97" s="6480" t="s">
        <v>4257</v>
      </c>
      <c r="P97" s="6481" t="s">
        <v>4261</v>
      </c>
      <c r="Q97" s="6482" t="s">
        <v>4262</v>
      </c>
      <c r="R97" s="6483" t="s">
        <v>4263</v>
      </c>
      <c r="S97" s="6484" t="s">
        <v>4264</v>
      </c>
      <c r="T97" s="6485" t="s">
        <v>4265</v>
      </c>
    </row>
    <row r="98" spans="1:20" x14ac:dyDescent="0.2">
      <c r="A98" s="296" t="s">
        <v>4180</v>
      </c>
      <c r="B98" s="4">
        <v>35.485418559557303</v>
      </c>
      <c r="C98" s="4">
        <v>28.12038722124711</v>
      </c>
      <c r="D98" s="4">
        <v>-7.3650313383102768</v>
      </c>
      <c r="E98" s="4618" t="str">
        <f>IF(       0&lt;0.01,"***",IF(       0&lt;0.05,"**",IF(       0&lt;0.1,"*","NS")))</f>
        <v>***</v>
      </c>
      <c r="G98" s="296" t="s">
        <v>4220</v>
      </c>
      <c r="H98" s="4">
        <v>35.485418559557303</v>
      </c>
      <c r="I98" s="4">
        <v>29.095997590432649</v>
      </c>
      <c r="J98" s="4">
        <v>-6.3894209691246386</v>
      </c>
      <c r="K98" s="4619" t="str">
        <f>IF(       0.004&lt;0.01,"***",IF(       0.004&lt;0.05,"**",IF(       0.004&lt;0.1,"*","NS")))</f>
        <v>***</v>
      </c>
      <c r="L98" s="4">
        <v>20.849185426394179</v>
      </c>
      <c r="M98" s="4">
        <v>-14.63623313316312</v>
      </c>
      <c r="N98" s="4620" t="str">
        <f>IF(       0&lt;0.01,"***",IF(       0&lt;0.05,"**",IF(       0&lt;0.1,"*","NS")))</f>
        <v>***</v>
      </c>
      <c r="P98" s="296" t="s">
        <v>4266</v>
      </c>
      <c r="Q98" s="4">
        <v>33.635524202352833</v>
      </c>
      <c r="R98" s="4">
        <v>20.849185426394179</v>
      </c>
      <c r="S98" s="4">
        <v>-12.786338775958528</v>
      </c>
      <c r="T98" s="4621" t="str">
        <f>IF(       0.006&lt;0.01,"***",IF(       0.006&lt;0.05,"**",IF(       0.006&lt;0.1,"*","NS")))</f>
        <v>***</v>
      </c>
    </row>
    <row r="99" spans="1:20" x14ac:dyDescent="0.2">
      <c r="A99" s="296" t="s">
        <v>4181</v>
      </c>
      <c r="B99" s="4">
        <v>42.456159450942579</v>
      </c>
      <c r="C99" s="4">
        <v>29.2398999458416</v>
      </c>
      <c r="D99" s="4">
        <v>-13.216259505101084</v>
      </c>
      <c r="E99" s="4622" t="str">
        <f>IF(       0&lt;0.01,"***",IF(       0&lt;0.05,"**",IF(       0&lt;0.1,"*","NS")))</f>
        <v>***</v>
      </c>
      <c r="G99" s="296" t="s">
        <v>4221</v>
      </c>
      <c r="H99" s="4">
        <v>42.456159450942579</v>
      </c>
      <c r="I99" s="4">
        <v>30.37897104389662</v>
      </c>
      <c r="J99" s="4">
        <v>-12.077188407045909</v>
      </c>
      <c r="K99" s="4623" t="str">
        <f>IF(       0.001&lt;0.01,"***",IF(       0.001&lt;0.05,"**",IF(       0.001&lt;0.1,"*","NS")))</f>
        <v>***</v>
      </c>
      <c r="L99" s="4">
        <v>23.804219916518651</v>
      </c>
      <c r="M99" s="4">
        <v>-18.651939534423871</v>
      </c>
      <c r="N99" s="4624" t="str">
        <f>IF(       0.002&lt;0.01,"***",IF(       0.002&lt;0.05,"**",IF(       0.002&lt;0.1,"*","NS")))</f>
        <v>***</v>
      </c>
      <c r="P99" s="296" t="s">
        <v>4267</v>
      </c>
      <c r="Q99" s="4">
        <v>40.011373694056623</v>
      </c>
      <c r="R99" s="4">
        <v>23.804219916518651</v>
      </c>
      <c r="S99" s="4">
        <v>-16.207153777537989</v>
      </c>
      <c r="T99" s="4625" t="str">
        <f>IF(       0&lt;0.01,"***",IF(       0&lt;0.05,"**",IF(       0&lt;0.1,"*","NS")))</f>
        <v>***</v>
      </c>
    </row>
    <row r="100" spans="1:20" x14ac:dyDescent="0.2">
      <c r="A100" s="296" t="s">
        <v>4182</v>
      </c>
      <c r="B100" s="4">
        <v>42.736474131650397</v>
      </c>
      <c r="C100" s="4">
        <v>32.97673301938373</v>
      </c>
      <c r="D100" s="4">
        <v>-9.7597411122667008</v>
      </c>
      <c r="E100" s="4626" t="str">
        <f>IF(       0.001&lt;0.01,"***",IF(       0.001&lt;0.05,"**",IF(       0.001&lt;0.1,"*","NS")))</f>
        <v>***</v>
      </c>
      <c r="G100" s="296" t="s">
        <v>4222</v>
      </c>
      <c r="H100" s="4">
        <v>42.736474131650397</v>
      </c>
      <c r="I100" s="4">
        <v>33.996131751768687</v>
      </c>
      <c r="J100" s="4">
        <v>-8.7403423798816231</v>
      </c>
      <c r="K100" s="4627" t="str">
        <f>IF(       0.012&lt;0.01,"***",IF(       0.012&lt;0.05,"**",IF(       0.012&lt;0.1,"*","NS")))</f>
        <v>**</v>
      </c>
      <c r="L100" s="4">
        <v>28.098811409754159</v>
      </c>
      <c r="M100" s="4">
        <v>-14.637662721896243</v>
      </c>
      <c r="N100" s="4628" t="str">
        <f>IF(       0&lt;0.01,"***",IF(       0&lt;0.05,"**",IF(       0&lt;0.1,"*","NS")))</f>
        <v>***</v>
      </c>
      <c r="P100" s="296" t="s">
        <v>4268</v>
      </c>
      <c r="Q100" s="4">
        <v>41.404830593248853</v>
      </c>
      <c r="R100" s="4">
        <v>28.098811409754159</v>
      </c>
      <c r="S100" s="4">
        <v>-13.306019183494602</v>
      </c>
      <c r="T100" s="4629" t="str">
        <f>IF(       0.029&lt;0.01,"***",IF(       0.029&lt;0.05,"**",IF(       0.029&lt;0.1,"*","NS")))</f>
        <v>**</v>
      </c>
    </row>
    <row r="101" spans="1:20" x14ac:dyDescent="0.2">
      <c r="A101" s="296" t="s">
        <v>4183</v>
      </c>
      <c r="B101" s="4">
        <v>38.071680215302209</v>
      </c>
      <c r="C101" s="4">
        <v>30.525474155495228</v>
      </c>
      <c r="D101" s="4">
        <v>-7.5462060598070586</v>
      </c>
      <c r="E101" s="4630" t="str">
        <f>IF(       0.002&lt;0.01,"***",IF(       0.002&lt;0.05,"**",IF(       0.002&lt;0.1,"*","NS")))</f>
        <v>***</v>
      </c>
      <c r="G101" s="296" t="s">
        <v>4223</v>
      </c>
      <c r="H101" s="4">
        <v>38.071680215302209</v>
      </c>
      <c r="I101" s="4">
        <v>31.787811944129441</v>
      </c>
      <c r="J101" s="4">
        <v>-6.2838682711726648</v>
      </c>
      <c r="K101" s="4631" t="str">
        <f>IF(       0.018&lt;0.01,"***",IF(       0.018&lt;0.05,"**",IF(       0.018&lt;0.1,"*","NS")))</f>
        <v>**</v>
      </c>
      <c r="L101" s="4">
        <v>22.00583239508369</v>
      </c>
      <c r="M101" s="4">
        <v>-16.065847820218309</v>
      </c>
      <c r="N101" s="4632" t="str">
        <f>IF(       0.016&lt;0.01,"***",IF(       0.016&lt;0.05,"**",IF(       0.016&lt;0.1,"*","NS")))</f>
        <v>**</v>
      </c>
      <c r="P101" s="296" t="s">
        <v>4269</v>
      </c>
      <c r="Q101" s="4">
        <v>36.687828392959673</v>
      </c>
      <c r="R101" s="4">
        <v>22.00583239508369</v>
      </c>
      <c r="S101" s="4">
        <v>-14.681995997876122</v>
      </c>
      <c r="T101" s="4633" t="str">
        <f>IF(       0&lt;0.01,"***",IF(       0&lt;0.05,"**",IF(       0&lt;0.1,"*","NS")))</f>
        <v>***</v>
      </c>
    </row>
    <row r="102" spans="1:20" x14ac:dyDescent="0.2">
      <c r="A102" s="296" t="s">
        <v>4184</v>
      </c>
      <c r="B102" s="4" t="s">
        <v>6067</v>
      </c>
      <c r="C102" s="4" t="s">
        <v>6067</v>
      </c>
      <c r="D102" s="4" t="s">
        <v>6067</v>
      </c>
      <c r="E102" s="4" t="s">
        <v>6067</v>
      </c>
      <c r="G102" s="296" t="s">
        <v>4224</v>
      </c>
      <c r="H102" s="4" t="s">
        <v>6067</v>
      </c>
      <c r="I102" s="4" t="s">
        <v>6067</v>
      </c>
      <c r="J102" s="4" t="s">
        <v>6067</v>
      </c>
      <c r="K102" s="4" t="s">
        <v>6067</v>
      </c>
      <c r="L102" s="4" t="s">
        <v>6067</v>
      </c>
      <c r="M102" s="4" t="s">
        <v>6067</v>
      </c>
      <c r="N102" s="4" t="s">
        <v>6067</v>
      </c>
      <c r="P102" s="296" t="s">
        <v>4270</v>
      </c>
      <c r="Q102" s="4" t="s">
        <v>6067</v>
      </c>
      <c r="R102" s="4" t="s">
        <v>6067</v>
      </c>
      <c r="S102" s="4" t="s">
        <v>6067</v>
      </c>
      <c r="T102" s="4" t="s">
        <v>6067</v>
      </c>
    </row>
    <row r="103" spans="1:20" x14ac:dyDescent="0.2">
      <c r="A103" s="296" t="s">
        <v>4185</v>
      </c>
      <c r="B103" s="4">
        <v>48.347380181598567</v>
      </c>
      <c r="C103" s="4">
        <v>39.768871035948507</v>
      </c>
      <c r="D103" s="4">
        <v>-8.5785091456502105</v>
      </c>
      <c r="E103" s="4634" t="str">
        <f>IF(       0.002&lt;0.01,"***",IF(       0.002&lt;0.05,"**",IF(       0.002&lt;0.1,"*","NS")))</f>
        <v>***</v>
      </c>
      <c r="G103" s="296" t="s">
        <v>4225</v>
      </c>
      <c r="H103" s="4">
        <v>48.347380181598567</v>
      </c>
      <c r="I103" s="4">
        <v>40.101525341317483</v>
      </c>
      <c r="J103" s="4">
        <v>-8.2458548402810088</v>
      </c>
      <c r="K103" s="4635" t="str">
        <f>IF(       0.01&lt;0.01,"***",IF(       0.01&lt;0.05,"**",IF(       0.01&lt;0.1,"*","NS")))</f>
        <v>**</v>
      </c>
      <c r="L103" s="4">
        <v>38.110862912774607</v>
      </c>
      <c r="M103" s="4">
        <v>-10.236517268824057</v>
      </c>
      <c r="N103" s="4636" t="str">
        <f>IF(       0&lt;0.01,"***",IF(       0&lt;0.05,"**",IF(       0&lt;0.1,"*","NS")))</f>
        <v>***</v>
      </c>
      <c r="P103" s="296" t="s">
        <v>4271</v>
      </c>
      <c r="Q103" s="4">
        <v>46.668938504315477</v>
      </c>
      <c r="R103" s="4">
        <v>38.110862912774607</v>
      </c>
      <c r="S103" s="4">
        <v>-8.5580755915409004</v>
      </c>
      <c r="T103" s="4637" t="str">
        <f>IF(       0.105&lt;0.01,"***",IF(       0.105&lt;0.05,"**",IF(       0.105&lt;0.1,"*","NS")))</f>
        <v>NS</v>
      </c>
    </row>
    <row r="104" spans="1:20" x14ac:dyDescent="0.2">
      <c r="A104" s="296" t="s">
        <v>4186</v>
      </c>
      <c r="B104" s="4">
        <v>49.816950843480598</v>
      </c>
      <c r="C104" s="4">
        <v>47.225831163684823</v>
      </c>
      <c r="D104" s="4">
        <v>-2.5911196797957703</v>
      </c>
      <c r="E104" s="4638" t="str">
        <f>IF(       0.413&lt;0.01,"***",IF(       0.413&lt;0.05,"**",IF(       0.413&lt;0.1,"*","NS")))</f>
        <v>NS</v>
      </c>
      <c r="G104" s="296" t="s">
        <v>4226</v>
      </c>
      <c r="H104" s="4">
        <v>49.816950843480598</v>
      </c>
      <c r="I104" s="4">
        <v>49.191811426791787</v>
      </c>
      <c r="J104" s="4">
        <v>-0.62513941668878803</v>
      </c>
      <c r="K104" s="4639" t="str">
        <f>IF(       0.878&lt;0.01,"***",IF(       0.878&lt;0.05,"**",IF(       0.878&lt;0.1,"*","NS")))</f>
        <v>NS</v>
      </c>
      <c r="L104" s="4">
        <v>39.301428463639347</v>
      </c>
      <c r="M104" s="4">
        <v>-10.515522379841331</v>
      </c>
      <c r="N104" s="4640" t="str">
        <f>IF(       0.052&lt;0.01,"***",IF(       0.052&lt;0.05,"**",IF(       0.052&lt;0.1,"*","NS")))</f>
        <v>*</v>
      </c>
      <c r="P104" s="296" t="s">
        <v>4272</v>
      </c>
      <c r="Q104" s="4">
        <v>49.75108560444842</v>
      </c>
      <c r="R104" s="4">
        <v>39.301428463639347</v>
      </c>
      <c r="S104" s="4">
        <v>-10.449657140809352</v>
      </c>
      <c r="T104" s="4641" t="str">
        <f>IF(       0.148&lt;0.01,"***",IF(       0.148&lt;0.05,"**",IF(       0.148&lt;0.1,"*","NS")))</f>
        <v>NS</v>
      </c>
    </row>
    <row r="105" spans="1:20" x14ac:dyDescent="0.2">
      <c r="A105" s="296" t="s">
        <v>4187</v>
      </c>
      <c r="B105" s="4" t="s">
        <v>6067</v>
      </c>
      <c r="C105" s="4" t="s">
        <v>6067</v>
      </c>
      <c r="D105" s="4" t="s">
        <v>6067</v>
      </c>
      <c r="E105" s="4" t="s">
        <v>6067</v>
      </c>
      <c r="G105" s="296" t="s">
        <v>4227</v>
      </c>
      <c r="H105" s="4" t="s">
        <v>6067</v>
      </c>
      <c r="I105" s="4" t="s">
        <v>6067</v>
      </c>
      <c r="J105" s="4" t="s">
        <v>6067</v>
      </c>
      <c r="K105" s="4" t="s">
        <v>6067</v>
      </c>
      <c r="L105" s="4" t="s">
        <v>6067</v>
      </c>
      <c r="M105" s="4" t="s">
        <v>6067</v>
      </c>
      <c r="N105" s="4" t="s">
        <v>6067</v>
      </c>
      <c r="P105" s="296" t="s">
        <v>4273</v>
      </c>
      <c r="Q105" s="4" t="s">
        <v>6067</v>
      </c>
      <c r="R105" s="4" t="s">
        <v>6067</v>
      </c>
      <c r="S105" s="4" t="s">
        <v>6067</v>
      </c>
      <c r="T105" s="4" t="s">
        <v>6067</v>
      </c>
    </row>
    <row r="106" spans="1:20" x14ac:dyDescent="0.2">
      <c r="A106" s="296" t="s">
        <v>4188</v>
      </c>
      <c r="B106" s="4">
        <v>40.953912238669503</v>
      </c>
      <c r="C106" s="4">
        <v>30.82188247286626</v>
      </c>
      <c r="D106" s="4">
        <v>-10.132029765803267</v>
      </c>
      <c r="E106" s="4642" t="str">
        <f>IF(       0&lt;0.01,"***",IF(       0&lt;0.05,"**",IF(       0&lt;0.1,"*","NS")))</f>
        <v>***</v>
      </c>
      <c r="G106" s="296" t="s">
        <v>4228</v>
      </c>
      <c r="H106" s="4">
        <v>40.953912238669503</v>
      </c>
      <c r="I106" s="4">
        <v>31.313944000392901</v>
      </c>
      <c r="J106" s="4">
        <v>-9.6399682382768166</v>
      </c>
      <c r="K106" s="4643" t="str">
        <f>IF(       0.001&lt;0.01,"***",IF(       0.001&lt;0.05,"**",IF(       0.001&lt;0.1,"*","NS")))</f>
        <v>***</v>
      </c>
      <c r="L106" s="4">
        <v>29.517729510182559</v>
      </c>
      <c r="M106" s="4">
        <v>-11.436182728486763</v>
      </c>
      <c r="N106" s="4644" t="str">
        <f>IF(       0.978&lt;0.01,"***",IF(       0.978&lt;0.05,"**",IF(       0.978&lt;0.1,"*","NS")))</f>
        <v>NS</v>
      </c>
      <c r="P106" s="296" t="s">
        <v>4274</v>
      </c>
      <c r="Q106" s="4">
        <v>38.627483050106107</v>
      </c>
      <c r="R106" s="4">
        <v>29.517729510182559</v>
      </c>
      <c r="S106" s="4">
        <v>-9.1097535399236929</v>
      </c>
      <c r="T106" s="4645" t="str">
        <f>IF(       0.031&lt;0.01,"***",IF(       0.031&lt;0.05,"**",IF(       0.031&lt;0.1,"*","NS")))</f>
        <v>**</v>
      </c>
    </row>
    <row r="107" spans="1:20" x14ac:dyDescent="0.2">
      <c r="A107" s="296" t="s">
        <v>4189</v>
      </c>
      <c r="B107" s="4">
        <v>28.492030138794071</v>
      </c>
      <c r="C107" s="4">
        <v>26.22998287202952</v>
      </c>
      <c r="D107" s="4">
        <v>-2.2620472667645557</v>
      </c>
      <c r="E107" s="4646" t="str">
        <f>IF(       0.238&lt;0.01,"***",IF(       0.238&lt;0.05,"**",IF(       0.238&lt;0.1,"*","NS")))</f>
        <v>NS</v>
      </c>
      <c r="G107" s="296" t="s">
        <v>4229</v>
      </c>
      <c r="H107" s="4">
        <v>28.492030138794071</v>
      </c>
      <c r="I107" s="4">
        <v>26.721879967584659</v>
      </c>
      <c r="J107" s="4">
        <v>-1.7701501712094063</v>
      </c>
      <c r="K107" s="4647" t="str">
        <f>IF(       0.372&lt;0.01,"***",IF(       0.372&lt;0.05,"**",IF(       0.372&lt;0.1,"*","NS")))</f>
        <v>NS</v>
      </c>
      <c r="L107" s="4">
        <v>23.313515273861789</v>
      </c>
      <c r="M107" s="4">
        <v>-5.1785148649322839</v>
      </c>
      <c r="N107" s="4648" t="str">
        <f>IF(       0.009&lt;0.01,"***",IF(       0.009&lt;0.05,"**",IF(       0.009&lt;0.1,"*","NS")))</f>
        <v>***</v>
      </c>
      <c r="P107" s="296" t="s">
        <v>4275</v>
      </c>
      <c r="Q107" s="4">
        <v>27.9256861341857</v>
      </c>
      <c r="R107" s="4">
        <v>23.313515273861789</v>
      </c>
      <c r="S107" s="4">
        <v>-4.6121708603239684</v>
      </c>
      <c r="T107" s="4649" t="str">
        <f>IF(       0.22&lt;0.01,"***",IF(       0.22&lt;0.05,"**",IF(       0.22&lt;0.1,"*","NS")))</f>
        <v>NS</v>
      </c>
    </row>
    <row r="108" spans="1:20" x14ac:dyDescent="0.2">
      <c r="A108" s="296" t="s">
        <v>4190</v>
      </c>
      <c r="B108" s="4">
        <v>47.74150740305857</v>
      </c>
      <c r="C108" s="4">
        <v>35.708322482670297</v>
      </c>
      <c r="D108" s="4">
        <v>-12.033184920388276</v>
      </c>
      <c r="E108" s="4650" t="str">
        <f>IF(       0&lt;0.01,"***",IF(       0&lt;0.05,"**",IF(       0&lt;0.1,"*","NS")))</f>
        <v>***</v>
      </c>
      <c r="G108" s="296" t="s">
        <v>4230</v>
      </c>
      <c r="H108" s="4">
        <v>47.74150740305857</v>
      </c>
      <c r="I108" s="4">
        <v>36.600083088663709</v>
      </c>
      <c r="J108" s="4">
        <v>-11.141424314394795</v>
      </c>
      <c r="K108" s="4651" t="str">
        <f>IF(       0&lt;0.01,"***",IF(       0&lt;0.05,"**",IF(       0&lt;0.1,"*","NS")))</f>
        <v>***</v>
      </c>
      <c r="L108" s="4">
        <v>32.099039417616581</v>
      </c>
      <c r="M108" s="4">
        <v>-15.642467985442051</v>
      </c>
      <c r="N108" s="4652" t="str">
        <f>IF(       0.182&lt;0.01,"***",IF(       0.182&lt;0.05,"**",IF(       0.182&lt;0.1,"*","NS")))</f>
        <v>NS</v>
      </c>
      <c r="P108" s="296" t="s">
        <v>4276</v>
      </c>
      <c r="Q108" s="4">
        <v>46.026744013521203</v>
      </c>
      <c r="R108" s="4">
        <v>32.099039417616581</v>
      </c>
      <c r="S108" s="4">
        <v>-13.927704595904709</v>
      </c>
      <c r="T108" s="4653" t="str">
        <f>IF(       0.023&lt;0.01,"***",IF(       0.023&lt;0.05,"**",IF(       0.023&lt;0.1,"*","NS")))</f>
        <v>**</v>
      </c>
    </row>
    <row r="109" spans="1:20" x14ac:dyDescent="0.2">
      <c r="A109" s="296" t="s">
        <v>4191</v>
      </c>
      <c r="B109" s="4">
        <v>47.365675269772012</v>
      </c>
      <c r="C109" s="4">
        <v>36.117049799721201</v>
      </c>
      <c r="D109" s="4">
        <v>-11.248625470050767</v>
      </c>
      <c r="E109" s="4654" t="str">
        <f>IF(       0&lt;0.01,"***",IF(       0&lt;0.05,"**",IF(       0&lt;0.1,"*","NS")))</f>
        <v>***</v>
      </c>
      <c r="G109" s="296" t="s">
        <v>4231</v>
      </c>
      <c r="H109" s="4">
        <v>47.365675269772012</v>
      </c>
      <c r="I109" s="4">
        <v>37.997097807149522</v>
      </c>
      <c r="J109" s="4">
        <v>-9.3685774626225324</v>
      </c>
      <c r="K109" s="4655" t="str">
        <f>IF(       0&lt;0.01,"***",IF(       0&lt;0.05,"**",IF(       0&lt;0.1,"*","NS")))</f>
        <v>***</v>
      </c>
      <c r="L109" s="4">
        <v>25.96773231634581</v>
      </c>
      <c r="M109" s="4">
        <v>-21.397942953425996</v>
      </c>
      <c r="N109" s="4656" t="str">
        <f>IF(       0.013&lt;0.01,"***",IF(       0.013&lt;0.05,"**",IF(       0.013&lt;0.1,"*","NS")))</f>
        <v>**</v>
      </c>
      <c r="P109" s="296" t="s">
        <v>4277</v>
      </c>
      <c r="Q109" s="4">
        <v>45.952797981882661</v>
      </c>
      <c r="R109" s="4">
        <v>25.96773231634581</v>
      </c>
      <c r="S109" s="4">
        <v>-19.985065665537274</v>
      </c>
      <c r="T109" s="4657" t="str">
        <f>IF(       0.001&lt;0.01,"***",IF(       0.001&lt;0.05,"**",IF(       0.001&lt;0.1,"*","NS")))</f>
        <v>***</v>
      </c>
    </row>
    <row r="110" spans="1:20" x14ac:dyDescent="0.2">
      <c r="A110" s="296" t="s">
        <v>4192</v>
      </c>
      <c r="B110" s="4">
        <v>34.768933144951397</v>
      </c>
      <c r="C110" s="4">
        <v>28.909654969155032</v>
      </c>
      <c r="D110" s="4">
        <v>-5.8592781757964065</v>
      </c>
      <c r="E110" s="4658" t="str">
        <f>IF(       0.022&lt;0.01,"***",IF(       0.022&lt;0.05,"**",IF(       0.022&lt;0.1,"*","NS")))</f>
        <v>**</v>
      </c>
      <c r="G110" s="296" t="s">
        <v>4232</v>
      </c>
      <c r="H110" s="4">
        <v>34.768933144951397</v>
      </c>
      <c r="I110" s="4">
        <v>29.994198888433129</v>
      </c>
      <c r="J110" s="4">
        <v>-4.7747342565183084</v>
      </c>
      <c r="K110" s="4659" t="str">
        <f>IF(       0.035&lt;0.01,"***",IF(       0.035&lt;0.05,"**",IF(       0.035&lt;0.1,"*","NS")))</f>
        <v>**</v>
      </c>
      <c r="L110" s="4">
        <v>24.61316945807976</v>
      </c>
      <c r="M110" s="4">
        <v>-10.155763686871685</v>
      </c>
      <c r="N110" s="4660" t="str">
        <f>IF(       0.001&lt;0.01,"***",IF(       0.001&lt;0.05,"**",IF(       0.001&lt;0.1,"*","NS")))</f>
        <v>***</v>
      </c>
      <c r="P110" s="296" t="s">
        <v>4278</v>
      </c>
      <c r="Q110" s="4">
        <v>34.11171878850196</v>
      </c>
      <c r="R110" s="4">
        <v>24.61316945807976</v>
      </c>
      <c r="S110" s="4">
        <v>-9.4985493304220849</v>
      </c>
      <c r="T110" s="4661" t="str">
        <f>IF(       0.13&lt;0.01,"***",IF(       0.13&lt;0.05,"**",IF(       0.13&lt;0.1,"*","NS")))</f>
        <v>NS</v>
      </c>
    </row>
    <row r="111" spans="1:20" x14ac:dyDescent="0.2">
      <c r="A111" s="296" t="s">
        <v>4193</v>
      </c>
      <c r="B111" s="4">
        <v>41.59205272858464</v>
      </c>
      <c r="C111" s="4">
        <v>31.638580893724459</v>
      </c>
      <c r="D111" s="4">
        <v>-9.9534718348601618</v>
      </c>
      <c r="E111" s="4662" t="str">
        <f>IF(       0&lt;0.01,"***",IF(       0&lt;0.05,"**",IF(       0&lt;0.1,"*","NS")))</f>
        <v>***</v>
      </c>
      <c r="G111" s="296" t="s">
        <v>4233</v>
      </c>
      <c r="H111" s="4">
        <v>41.59205272858464</v>
      </c>
      <c r="I111" s="4">
        <v>33.288159744031653</v>
      </c>
      <c r="J111" s="4">
        <v>-8.3038929845530038</v>
      </c>
      <c r="K111" s="4663" t="str">
        <f>IF(       0.001&lt;0.01,"***",IF(       0.001&lt;0.05,"**",IF(       0.001&lt;0.1,"*","NS")))</f>
        <v>***</v>
      </c>
      <c r="L111" s="4">
        <v>25.259537364735049</v>
      </c>
      <c r="M111" s="4">
        <v>-16.332515363849616</v>
      </c>
      <c r="N111" s="4664" t="str">
        <f>IF(       0.11&lt;0.01,"***",IF(       0.11&lt;0.05,"**",IF(       0.11&lt;0.1,"*","NS")))</f>
        <v>NS</v>
      </c>
      <c r="P111" s="296" t="s">
        <v>4279</v>
      </c>
      <c r="Q111" s="4">
        <v>39.40480636658296</v>
      </c>
      <c r="R111" s="4">
        <v>25.259537364735049</v>
      </c>
      <c r="S111" s="4">
        <v>-14.145269001847916</v>
      </c>
      <c r="T111" s="4665" t="str">
        <f>IF(       0.002&lt;0.01,"***",IF(       0.002&lt;0.05,"**",IF(       0.002&lt;0.1,"*","NS")))</f>
        <v>***</v>
      </c>
    </row>
    <row r="112" spans="1:20" x14ac:dyDescent="0.2">
      <c r="A112" s="296" t="s">
        <v>4194</v>
      </c>
      <c r="B112" s="4">
        <v>27.453417802448769</v>
      </c>
      <c r="C112" s="4">
        <v>23.704010922116421</v>
      </c>
      <c r="D112" s="4">
        <v>-3.7494068803323293</v>
      </c>
      <c r="E112" s="4666" t="str">
        <f>IF(       0.139&lt;0.01,"***",IF(       0.139&lt;0.05,"**",IF(       0.139&lt;0.1,"*","NS")))</f>
        <v>NS</v>
      </c>
      <c r="G112" s="296" t="s">
        <v>4234</v>
      </c>
      <c r="H112" s="4">
        <v>27.453417802448769</v>
      </c>
      <c r="I112" s="4">
        <v>23.167597701252099</v>
      </c>
      <c r="J112" s="4">
        <v>-4.2858201011967196</v>
      </c>
      <c r="K112" s="4667" t="str">
        <f>IF(       0.102&lt;0.01,"***",IF(       0.102&lt;0.05,"**",IF(       0.102&lt;0.1,"*","NS")))</f>
        <v>NS</v>
      </c>
      <c r="L112" s="4">
        <v>26.867598428280491</v>
      </c>
      <c r="M112" s="4">
        <v>-0.58581937416825214</v>
      </c>
      <c r="N112" s="4668" t="str">
        <f>IF(       0.001&lt;0.01,"***",IF(       0.001&lt;0.05,"**",IF(       0.001&lt;0.1,"*","NS")))</f>
        <v>***</v>
      </c>
      <c r="P112" s="296" t="s">
        <v>4280</v>
      </c>
      <c r="Q112" s="4">
        <v>26.656453357458869</v>
      </c>
      <c r="R112" s="4">
        <v>26.867598428280491</v>
      </c>
      <c r="S112" s="4">
        <v>0.21114507082161652</v>
      </c>
      <c r="T112" s="4669" t="str">
        <f>IF(       0.97&lt;0.01,"***",IF(       0.97&lt;0.05,"**",IF(       0.97&lt;0.1,"*","NS")))</f>
        <v>NS</v>
      </c>
    </row>
    <row r="113" spans="1:20" x14ac:dyDescent="0.2">
      <c r="A113" s="296" t="s">
        <v>5835</v>
      </c>
      <c r="B113" s="4">
        <v>40.677519112447968</v>
      </c>
      <c r="C113" s="4">
        <v>31.46703653293563</v>
      </c>
      <c r="D113" s="4">
        <v>-9.2104825795121084</v>
      </c>
      <c r="E113" s="4670" t="str">
        <f>IF(       0&lt;0.01,"***",IF(       0&lt;0.05,"**",IF(       0&lt;0.1,"*","NS")))</f>
        <v>***</v>
      </c>
      <c r="G113" s="296" t="s">
        <v>5835</v>
      </c>
      <c r="H113" s="4">
        <v>40.677519112447968</v>
      </c>
      <c r="I113" s="4">
        <v>32.364828686876159</v>
      </c>
      <c r="J113" s="4">
        <v>-8.3126904255717502</v>
      </c>
      <c r="K113" s="4671" t="str">
        <f>IF(       0&lt;0.01,"***",IF(       0&lt;0.05,"**",IF(       0&lt;0.1,"*","NS")))</f>
        <v>***</v>
      </c>
      <c r="L113" s="4">
        <v>27.05261650467725</v>
      </c>
      <c r="M113" s="4">
        <v>-13.624902607771901</v>
      </c>
      <c r="N113" s="4672" t="str">
        <f>IF(       0&lt;0.01,"***",IF(       0&lt;0.05,"**",IF(       0&lt;0.1,"*","NS")))</f>
        <v>***</v>
      </c>
      <c r="P113" s="296" t="s">
        <v>5835</v>
      </c>
      <c r="Q113" s="4">
        <v>39.079342279704441</v>
      </c>
      <c r="R113" s="4">
        <v>27.05261650467725</v>
      </c>
      <c r="S113" s="4">
        <v>-12.026725775027318</v>
      </c>
      <c r="T113" s="4673" t="str">
        <f>IF(       0&lt;0.01,"***",IF(       0&lt;0.05,"**",IF(       0&lt;0.1,"*","NS")))</f>
        <v>***</v>
      </c>
    </row>
    <row r="115" spans="1:20" x14ac:dyDescent="0.2">
      <c r="A115" s="296" t="s">
        <v>5792</v>
      </c>
      <c r="G115" s="296" t="s">
        <v>5793</v>
      </c>
      <c r="P115" s="296" t="s">
        <v>5794</v>
      </c>
    </row>
    <row r="116" spans="1:20" s="3" customFormat="1" x14ac:dyDescent="0.2">
      <c r="A116" s="6486" t="s">
        <v>4195</v>
      </c>
      <c r="B116" s="6487" t="s">
        <v>4196</v>
      </c>
      <c r="C116" s="6488" t="s">
        <v>4197</v>
      </c>
      <c r="D116" s="6489" t="s">
        <v>4198</v>
      </c>
      <c r="E116" s="6490" t="s">
        <v>4199</v>
      </c>
      <c r="G116" s="6491" t="s">
        <v>4235</v>
      </c>
      <c r="H116" s="6492" t="s">
        <v>4236</v>
      </c>
      <c r="I116" s="6493" t="s">
        <v>4237</v>
      </c>
      <c r="J116" s="6494" t="s">
        <v>4238</v>
      </c>
      <c r="K116" s="6495" t="s">
        <v>4239</v>
      </c>
      <c r="L116" s="6496" t="s">
        <v>4258</v>
      </c>
      <c r="M116" s="6497" t="s">
        <v>4259</v>
      </c>
      <c r="N116" s="6498" t="s">
        <v>4260</v>
      </c>
      <c r="P116" s="6499" t="s">
        <v>4281</v>
      </c>
      <c r="Q116" s="6500" t="s">
        <v>4282</v>
      </c>
      <c r="R116" s="6501" t="s">
        <v>4283</v>
      </c>
      <c r="S116" s="6502" t="s">
        <v>4284</v>
      </c>
      <c r="T116" s="6503" t="s">
        <v>4285</v>
      </c>
    </row>
    <row r="117" spans="1:20" x14ac:dyDescent="0.2">
      <c r="A117" s="296" t="s">
        <v>4200</v>
      </c>
      <c r="B117" s="4">
        <v>30.613804931975441</v>
      </c>
      <c r="C117" s="4">
        <v>18.388652807861309</v>
      </c>
      <c r="D117" s="4">
        <v>-12.225152124114166</v>
      </c>
      <c r="E117" s="4674" t="str">
        <f>IF(       0.017&lt;0.01,"***",IF(       0.017&lt;0.05,"**",IF(       0.017&lt;0.1,"*","NS")))</f>
        <v>**</v>
      </c>
      <c r="G117" s="296" t="s">
        <v>4240</v>
      </c>
      <c r="H117" s="4">
        <v>30.613804931975441</v>
      </c>
      <c r="I117" s="4">
        <v>22.633719557352588</v>
      </c>
      <c r="J117" s="4">
        <v>-7.9800853746228828</v>
      </c>
      <c r="K117" s="4675" t="str">
        <f>IF(       0.127&lt;0.01,"***",IF(       0.127&lt;0.05,"**",IF(       0.127&lt;0.1,"*","NS")))</f>
        <v>NS</v>
      </c>
      <c r="L117" s="4">
        <v>9.7244009897386903</v>
      </c>
      <c r="M117" s="4">
        <v>-20.889403942236719</v>
      </c>
      <c r="N117" s="4676" t="str">
        <f>IF(       0&lt;0.01,"***",IF(       0&lt;0.05,"**",IF(       0&lt;0.1,"*","NS")))</f>
        <v>***</v>
      </c>
      <c r="P117" s="296" t="s">
        <v>4286</v>
      </c>
      <c r="Q117" s="4">
        <v>25.385693207403421</v>
      </c>
      <c r="R117" s="4">
        <v>9.7244009897386903</v>
      </c>
      <c r="S117" s="4">
        <v>-15.661292217664768</v>
      </c>
      <c r="T117" s="4677" t="str">
        <f>IF(       0&lt;0.01,"***",IF(       0&lt;0.05,"**",IF(       0&lt;0.1,"*","NS")))</f>
        <v>***</v>
      </c>
    </row>
    <row r="118" spans="1:20" x14ac:dyDescent="0.2">
      <c r="A118" s="296" t="s">
        <v>4201</v>
      </c>
      <c r="B118" s="4">
        <v>29.170174129340172</v>
      </c>
      <c r="C118" s="4">
        <v>15.066794756654099</v>
      </c>
      <c r="D118" s="4">
        <v>-14.103379372686025</v>
      </c>
      <c r="E118" s="4678" t="str">
        <f>IF(       0&lt;0.01,"***",IF(       0&lt;0.05,"**",IF(       0&lt;0.1,"*","NS")))</f>
        <v>***</v>
      </c>
      <c r="G118" s="296" t="s">
        <v>4241</v>
      </c>
      <c r="H118" s="4">
        <v>29.170174129340172</v>
      </c>
      <c r="I118" s="4">
        <v>18.22931684268913</v>
      </c>
      <c r="J118" s="4">
        <v>-10.940857286651063</v>
      </c>
      <c r="K118" s="4679" t="str">
        <f>IF(       0.001&lt;0.01,"***",IF(       0.001&lt;0.05,"**",IF(       0.001&lt;0.1,"*","NS")))</f>
        <v>***</v>
      </c>
      <c r="L118" s="4">
        <v>9.7146994462781819</v>
      </c>
      <c r="M118" s="4">
        <v>-19.455474683062004</v>
      </c>
      <c r="N118" s="4680" t="str">
        <f>IF(       0&lt;0.01,"***",IF(       0&lt;0.05,"**",IF(       0&lt;0.1,"*","NS")))</f>
        <v>***</v>
      </c>
      <c r="P118" s="296" t="s">
        <v>4287</v>
      </c>
      <c r="Q118" s="4">
        <v>22.568009563665161</v>
      </c>
      <c r="R118" s="4">
        <v>9.7146994462781819</v>
      </c>
      <c r="S118" s="4">
        <v>-12.853310117386977</v>
      </c>
      <c r="T118" s="4681" t="str">
        <f>IF(       0&lt;0.01,"***",IF(       0&lt;0.05,"**",IF(       0&lt;0.1,"*","NS")))</f>
        <v>***</v>
      </c>
    </row>
    <row r="119" spans="1:20" x14ac:dyDescent="0.2">
      <c r="A119" s="296" t="s">
        <v>4202</v>
      </c>
      <c r="B119" s="4">
        <v>25.566039108376259</v>
      </c>
      <c r="C119" s="4">
        <v>18.136752360326049</v>
      </c>
      <c r="D119" s="4">
        <v>-7.4292867480502052</v>
      </c>
      <c r="E119" s="4682" t="str">
        <f>IF(       0.031&lt;0.01,"***",IF(       0.031&lt;0.05,"**",IF(       0.031&lt;0.1,"*","NS")))</f>
        <v>**</v>
      </c>
      <c r="G119" s="296" t="s">
        <v>4242</v>
      </c>
      <c r="H119" s="4">
        <v>25.566039108376259</v>
      </c>
      <c r="I119" s="4">
        <v>18.756067713525169</v>
      </c>
      <c r="J119" s="4">
        <v>-6.8099713948510798</v>
      </c>
      <c r="K119" s="4683" t="str">
        <f>IF(       0.039&lt;0.01,"***",IF(       0.039&lt;0.05,"**",IF(       0.039&lt;0.1,"*","NS")))</f>
        <v>**</v>
      </c>
      <c r="L119" s="4">
        <v>16.755369900867201</v>
      </c>
      <c r="M119" s="4">
        <v>-8.8106692075090596</v>
      </c>
      <c r="N119" s="4684" t="str">
        <f>IF(       0.112&lt;0.01,"***",IF(       0.112&lt;0.05,"**",IF(       0.112&lt;0.1,"*","NS")))</f>
        <v>NS</v>
      </c>
      <c r="P119" s="296" t="s">
        <v>4288</v>
      </c>
      <c r="Q119" s="4">
        <v>22.315640180645801</v>
      </c>
      <c r="R119" s="4">
        <v>16.755369900867201</v>
      </c>
      <c r="S119" s="4">
        <v>-5.5602702797786154</v>
      </c>
      <c r="T119" s="4685" t="str">
        <f>IF(       0.259&lt;0.01,"***",IF(       0.259&lt;0.05,"**",IF(       0.259&lt;0.1,"*","NS")))</f>
        <v>NS</v>
      </c>
    </row>
    <row r="120" spans="1:20" x14ac:dyDescent="0.2">
      <c r="A120" s="296" t="s">
        <v>4203</v>
      </c>
      <c r="B120" s="4">
        <v>24.066916981028601</v>
      </c>
      <c r="C120" s="4">
        <v>16.815721068705901</v>
      </c>
      <c r="D120" s="4">
        <v>-7.2511959123226966</v>
      </c>
      <c r="E120" s="4686" t="str">
        <f>IF(       0.038&lt;0.01,"***",IF(       0.038&lt;0.05,"**",IF(       0.038&lt;0.1,"*","NS")))</f>
        <v>**</v>
      </c>
      <c r="G120" s="296" t="s">
        <v>4243</v>
      </c>
      <c r="H120" s="4">
        <v>24.066916981028601</v>
      </c>
      <c r="I120" s="4">
        <v>18.24640575148306</v>
      </c>
      <c r="J120" s="4">
        <v>-5.8205112295455512</v>
      </c>
      <c r="K120" s="4687" t="str">
        <f>IF(       0.103&lt;0.01,"***",IF(       0.103&lt;0.05,"**",IF(       0.103&lt;0.1,"*","NS")))</f>
        <v>NS</v>
      </c>
      <c r="L120" s="4">
        <v>13.48509683003916</v>
      </c>
      <c r="M120" s="4">
        <v>-10.581820150989438</v>
      </c>
      <c r="N120" s="4688" t="str">
        <f>IF(       0.016&lt;0.01,"***",IF(       0.016&lt;0.05,"**",IF(       0.016&lt;0.1,"*","NS")))</f>
        <v>**</v>
      </c>
      <c r="P120" s="296" t="s">
        <v>4289</v>
      </c>
      <c r="Q120" s="4">
        <v>20.869655017601708</v>
      </c>
      <c r="R120" s="4">
        <v>13.48509683003916</v>
      </c>
      <c r="S120" s="4">
        <v>-7.3845581875625248</v>
      </c>
      <c r="T120" s="4689" t="str">
        <f>IF(       0.035&lt;0.01,"***",IF(       0.035&lt;0.05,"**",IF(       0.035&lt;0.1,"*","NS")))</f>
        <v>**</v>
      </c>
    </row>
    <row r="121" spans="1:20" x14ac:dyDescent="0.2">
      <c r="A121" s="296" t="s">
        <v>4204</v>
      </c>
      <c r="B121" s="4">
        <v>22.625513858457001</v>
      </c>
      <c r="C121" s="4">
        <v>16.627144391612759</v>
      </c>
      <c r="D121" s="4">
        <v>-5.9983694668442595</v>
      </c>
      <c r="E121" s="4690" t="str">
        <f>IF(       0.031&lt;0.01,"***",IF(       0.031&lt;0.05,"**",IF(       0.031&lt;0.1,"*","NS")))</f>
        <v>**</v>
      </c>
      <c r="G121" s="296" t="s">
        <v>4244</v>
      </c>
      <c r="H121" s="4">
        <v>22.625513858457001</v>
      </c>
      <c r="I121" s="4">
        <v>17.963567080858979</v>
      </c>
      <c r="J121" s="4">
        <v>-4.661946777598021</v>
      </c>
      <c r="K121" s="4691" t="str">
        <f>IF(       0.131&lt;0.01,"***",IF(       0.131&lt;0.05,"**",IF(       0.131&lt;0.1,"*","NS")))</f>
        <v>NS</v>
      </c>
      <c r="L121" s="4">
        <v>12.410009784171701</v>
      </c>
      <c r="M121" s="4">
        <v>-10.215504074285267</v>
      </c>
      <c r="N121" s="4692" t="str">
        <f>IF(       0.006&lt;0.01,"***",IF(       0.006&lt;0.05,"**",IF(       0.006&lt;0.1,"*","NS")))</f>
        <v>***</v>
      </c>
      <c r="P121" s="296" t="s">
        <v>4290</v>
      </c>
      <c r="Q121" s="4">
        <v>19.838820020448249</v>
      </c>
      <c r="R121" s="4">
        <v>12.410009784171701</v>
      </c>
      <c r="S121" s="4">
        <v>-7.4288102362765214</v>
      </c>
      <c r="T121" s="4693" t="str">
        <f>IF(       0.045&lt;0.01,"***",IF(       0.045&lt;0.05,"**",IF(       0.045&lt;0.1,"*","NS")))</f>
        <v>**</v>
      </c>
    </row>
    <row r="122" spans="1:20" x14ac:dyDescent="0.2">
      <c r="A122" s="296" t="s">
        <v>4205</v>
      </c>
      <c r="B122" s="4">
        <v>37.078114769632208</v>
      </c>
      <c r="C122" s="4">
        <v>20.367443605780529</v>
      </c>
      <c r="D122" s="4">
        <v>-16.710671163851721</v>
      </c>
      <c r="E122" s="4694" t="str">
        <f>IF(       0&lt;0.01,"***",IF(       0&lt;0.05,"**",IF(       0&lt;0.1,"*","NS")))</f>
        <v>***</v>
      </c>
      <c r="G122" s="296" t="s">
        <v>4245</v>
      </c>
      <c r="H122" s="4">
        <v>37.078114769632208</v>
      </c>
      <c r="I122" s="4">
        <v>23.624332841023069</v>
      </c>
      <c r="J122" s="4">
        <v>-13.453781928609191</v>
      </c>
      <c r="K122" s="4695" t="str">
        <f>IF(       0.004&lt;0.01,"***",IF(       0.004&lt;0.05,"**",IF(       0.004&lt;0.1,"*","NS")))</f>
        <v>***</v>
      </c>
      <c r="L122" s="4">
        <v>13.54171820227822</v>
      </c>
      <c r="M122" s="4">
        <v>-23.536396567354092</v>
      </c>
      <c r="N122" s="4696" t="str">
        <f>IF(       0&lt;0.01,"***",IF(       0&lt;0.05,"**",IF(       0&lt;0.1,"*","NS")))</f>
        <v>***</v>
      </c>
      <c r="P122" s="296" t="s">
        <v>4291</v>
      </c>
      <c r="Q122" s="4">
        <v>29.242794258445581</v>
      </c>
      <c r="R122" s="4">
        <v>13.54171820227822</v>
      </c>
      <c r="S122" s="4">
        <v>-15.701076056167352</v>
      </c>
      <c r="T122" s="4697" t="str">
        <f>IF(       0&lt;0.01,"***",IF(       0&lt;0.05,"**",IF(       0&lt;0.1,"*","NS")))</f>
        <v>***</v>
      </c>
    </row>
    <row r="123" spans="1:20" x14ac:dyDescent="0.2">
      <c r="A123" s="296" t="s">
        <v>4206</v>
      </c>
      <c r="B123" s="4" t="s">
        <v>6067</v>
      </c>
      <c r="C123" s="4" t="s">
        <v>6067</v>
      </c>
      <c r="D123" s="4" t="s">
        <v>6067</v>
      </c>
      <c r="E123" s="4" t="s">
        <v>6067</v>
      </c>
      <c r="G123" s="296" t="s">
        <v>4246</v>
      </c>
      <c r="H123" s="4" t="s">
        <v>6067</v>
      </c>
      <c r="I123" s="4" t="s">
        <v>6067</v>
      </c>
      <c r="J123" s="4" t="s">
        <v>6067</v>
      </c>
      <c r="K123" s="4" t="s">
        <v>6067</v>
      </c>
      <c r="L123" s="4" t="s">
        <v>6067</v>
      </c>
      <c r="M123" s="4" t="s">
        <v>6067</v>
      </c>
      <c r="N123" s="4" t="s">
        <v>6067</v>
      </c>
      <c r="P123" s="296" t="s">
        <v>4292</v>
      </c>
      <c r="Q123" s="4" t="s">
        <v>6067</v>
      </c>
      <c r="R123" s="4" t="s">
        <v>6067</v>
      </c>
      <c r="S123" s="4" t="s">
        <v>6067</v>
      </c>
      <c r="T123" s="4" t="s">
        <v>6067</v>
      </c>
    </row>
    <row r="124" spans="1:20" x14ac:dyDescent="0.2">
      <c r="A124" s="296" t="s">
        <v>4207</v>
      </c>
      <c r="B124" s="4">
        <v>5.2475813046828357</v>
      </c>
      <c r="C124" s="4">
        <v>5.0231244125289534</v>
      </c>
      <c r="D124" s="4">
        <v>-0.22445689215388182</v>
      </c>
      <c r="E124" s="4698" t="str">
        <f>IF(       0.883&lt;0.01,"***",IF(       0.883&lt;0.05,"**",IF(       0.883&lt;0.1,"*","NS")))</f>
        <v>NS</v>
      </c>
      <c r="G124" s="296" t="s">
        <v>4247</v>
      </c>
      <c r="H124" s="4">
        <v>5.2475813046828357</v>
      </c>
      <c r="I124" s="4">
        <v>5.8634652734785071</v>
      </c>
      <c r="J124" s="4">
        <v>0.6158839687956692</v>
      </c>
      <c r="K124" s="4699" t="str">
        <f>IF(       0.747&lt;0.01,"***",IF(       0.747&lt;0.05,"**",IF(       0.747&lt;0.1,"*","NS")))</f>
        <v>NS</v>
      </c>
      <c r="L124" s="4">
        <v>2.817923480960427</v>
      </c>
      <c r="M124" s="4">
        <v>-2.4296578237224176</v>
      </c>
      <c r="N124" s="4700" t="str">
        <f>IF(       0.123&lt;0.01,"***",IF(       0.123&lt;0.05,"**",IF(       0.123&lt;0.1,"*","NS")))</f>
        <v>NS</v>
      </c>
      <c r="P124" s="296" t="s">
        <v>4293</v>
      </c>
      <c r="Q124" s="4">
        <v>5.5022057417207453</v>
      </c>
      <c r="R124" s="4">
        <v>2.817923480960427</v>
      </c>
      <c r="S124" s="4">
        <v>-2.6842822607603254</v>
      </c>
      <c r="T124" s="4701" t="str">
        <f>IF(       0.104&lt;0.01,"***",IF(       0.104&lt;0.05,"**",IF(       0.104&lt;0.1,"*","NS")))</f>
        <v>NS</v>
      </c>
    </row>
    <row r="125" spans="1:20" x14ac:dyDescent="0.2">
      <c r="A125" s="296" t="s">
        <v>4208</v>
      </c>
      <c r="B125" s="4">
        <v>22.312894125507729</v>
      </c>
      <c r="C125" s="4">
        <v>19.418966716743508</v>
      </c>
      <c r="D125" s="4">
        <v>-2.8939274087642195</v>
      </c>
      <c r="E125" s="4702" t="str">
        <f>IF(       0.508&lt;0.01,"***",IF(       0.508&lt;0.05,"**",IF(       0.508&lt;0.1,"*","NS")))</f>
        <v>NS</v>
      </c>
      <c r="G125" s="296" t="s">
        <v>4248</v>
      </c>
      <c r="H125" s="4">
        <v>22.312894125507729</v>
      </c>
      <c r="I125" s="4">
        <v>24.467651528032661</v>
      </c>
      <c r="J125" s="4">
        <v>2.1547574025249259</v>
      </c>
      <c r="K125" s="4703" t="str">
        <f>IF(       0.627&lt;0.01,"***",IF(       0.627&lt;0.05,"**",IF(       0.627&lt;0.1,"*","NS")))</f>
        <v>NS</v>
      </c>
      <c r="L125" s="4">
        <v>13.96190392131135</v>
      </c>
      <c r="M125" s="4">
        <v>-8.3509902041963695</v>
      </c>
      <c r="N125" s="4704" t="str">
        <f>IF(       0.109&lt;0.01,"***",IF(       0.109&lt;0.05,"**",IF(       0.109&lt;0.1,"*","NS")))</f>
        <v>NS</v>
      </c>
      <c r="P125" s="296" t="s">
        <v>4294</v>
      </c>
      <c r="Q125" s="4">
        <v>23.752700932478049</v>
      </c>
      <c r="R125" s="4">
        <v>13.96190392131135</v>
      </c>
      <c r="S125" s="4">
        <v>-9.7907970111666458</v>
      </c>
      <c r="T125" s="4705" t="str">
        <f>IF(       0.011&lt;0.01,"***",IF(       0.011&lt;0.05,"**",IF(       0.011&lt;0.1,"*","NS")))</f>
        <v>**</v>
      </c>
    </row>
    <row r="126" spans="1:20" x14ac:dyDescent="0.2">
      <c r="A126" s="296" t="s">
        <v>4209</v>
      </c>
      <c r="B126" s="4">
        <v>28.926835312822771</v>
      </c>
      <c r="C126" s="4">
        <v>18.701405091745428</v>
      </c>
      <c r="D126" s="4">
        <v>-10.225430221077351</v>
      </c>
      <c r="E126" s="4706" t="str">
        <f>IF(       0.015&lt;0.01,"***",IF(       0.015&lt;0.05,"**",IF(       0.015&lt;0.1,"*","NS")))</f>
        <v>**</v>
      </c>
      <c r="G126" s="296" t="s">
        <v>4249</v>
      </c>
      <c r="H126" s="4">
        <v>28.926835312822771</v>
      </c>
      <c r="I126" s="4">
        <v>21.02211987121709</v>
      </c>
      <c r="J126" s="4">
        <v>-7.9047154416056724</v>
      </c>
      <c r="K126" s="4707" t="str">
        <f>IF(       0.07&lt;0.01,"***",IF(       0.07&lt;0.05,"**",IF(       0.07&lt;0.1,"*","NS")))</f>
        <v>*</v>
      </c>
      <c r="L126" s="4">
        <v>14.746868535861189</v>
      </c>
      <c r="M126" s="4">
        <v>-14.179966776961596</v>
      </c>
      <c r="N126" s="4708" t="str">
        <f>IF(       0.003&lt;0.01,"***",IF(       0.003&lt;0.05,"**",IF(       0.003&lt;0.1,"*","NS")))</f>
        <v>***</v>
      </c>
      <c r="P126" s="296" t="s">
        <v>4295</v>
      </c>
      <c r="Q126" s="4">
        <v>23.64783613408623</v>
      </c>
      <c r="R126" s="4">
        <v>14.746868535861189</v>
      </c>
      <c r="S126" s="4">
        <v>-8.9009675982250389</v>
      </c>
      <c r="T126" s="4709" t="str">
        <f>IF(       0.013&lt;0.01,"***",IF(       0.013&lt;0.05,"**",IF(       0.013&lt;0.1,"*","NS")))</f>
        <v>**</v>
      </c>
    </row>
    <row r="127" spans="1:20" x14ac:dyDescent="0.2">
      <c r="A127" s="296" t="s">
        <v>4210</v>
      </c>
      <c r="B127" s="4">
        <v>33.460569292195643</v>
      </c>
      <c r="C127" s="4">
        <v>22.523554637085141</v>
      </c>
      <c r="D127" s="4">
        <v>-10.937014655110517</v>
      </c>
      <c r="E127" s="4710" t="str">
        <f>IF(       0.019&lt;0.01,"***",IF(       0.019&lt;0.05,"**",IF(       0.019&lt;0.1,"*","NS")))</f>
        <v>**</v>
      </c>
      <c r="G127" s="296" t="s">
        <v>4250</v>
      </c>
      <c r="H127" s="4">
        <v>33.460569292195643</v>
      </c>
      <c r="I127" s="4">
        <v>25.109220441710871</v>
      </c>
      <c r="J127" s="4">
        <v>-8.3513488504847455</v>
      </c>
      <c r="K127" s="4711" t="str">
        <f>IF(       0.061&lt;0.01,"***",IF(       0.061&lt;0.05,"**",IF(       0.061&lt;0.1,"*","NS")))</f>
        <v>*</v>
      </c>
      <c r="L127" s="4">
        <v>17.083276801095732</v>
      </c>
      <c r="M127" s="4">
        <v>-16.37729249109989</v>
      </c>
      <c r="N127" s="4712" t="str">
        <f>IF(       0.014&lt;0.01,"***",IF(       0.014&lt;0.05,"**",IF(       0.014&lt;0.1,"*","NS")))</f>
        <v>**</v>
      </c>
      <c r="P127" s="296" t="s">
        <v>4296</v>
      </c>
      <c r="Q127" s="4">
        <v>28.54132068244088</v>
      </c>
      <c r="R127" s="4">
        <v>17.083276801095732</v>
      </c>
      <c r="S127" s="4">
        <v>-11.458043881345104</v>
      </c>
      <c r="T127" s="4713" t="str">
        <f>IF(       0.029&lt;0.01,"***",IF(       0.029&lt;0.05,"**",IF(       0.029&lt;0.1,"*","NS")))</f>
        <v>**</v>
      </c>
    </row>
    <row r="128" spans="1:20" x14ac:dyDescent="0.2">
      <c r="A128" s="296" t="s">
        <v>4211</v>
      </c>
      <c r="B128" s="4">
        <v>36.589939166668117</v>
      </c>
      <c r="C128" s="4">
        <v>22.32403871935184</v>
      </c>
      <c r="D128" s="4">
        <v>-14.265900447316227</v>
      </c>
      <c r="E128" s="4714" t="str">
        <f>IF(       0&lt;0.01,"***",IF(       0&lt;0.05,"**",IF(       0&lt;0.1,"*","NS")))</f>
        <v>***</v>
      </c>
      <c r="G128" s="296" t="s">
        <v>4251</v>
      </c>
      <c r="H128" s="4">
        <v>36.589939166668117</v>
      </c>
      <c r="I128" s="4">
        <v>28.305607344241189</v>
      </c>
      <c r="J128" s="4">
        <v>-8.2843318224269353</v>
      </c>
      <c r="K128" s="4715" t="str">
        <f>IF(       0.034&lt;0.01,"***",IF(       0.034&lt;0.05,"**",IF(       0.034&lt;0.1,"*","NS")))</f>
        <v>**</v>
      </c>
      <c r="L128" s="4">
        <v>11.26435804518986</v>
      </c>
      <c r="M128" s="4">
        <v>-25.325581121478304</v>
      </c>
      <c r="N128" s="4716" t="str">
        <f>IF(       0&lt;0.01,"***",IF(       0&lt;0.05,"**",IF(       0&lt;0.1,"*","NS")))</f>
        <v>***</v>
      </c>
      <c r="P128" s="296" t="s">
        <v>4297</v>
      </c>
      <c r="Q128" s="4">
        <v>31.895926786435538</v>
      </c>
      <c r="R128" s="4">
        <v>11.26435804518986</v>
      </c>
      <c r="S128" s="4">
        <v>-20.631568741245676</v>
      </c>
      <c r="T128" s="4717" t="str">
        <f>IF(       0&lt;0.01,"***",IF(       0&lt;0.05,"**",IF(       0&lt;0.1,"*","NS")))</f>
        <v>***</v>
      </c>
    </row>
    <row r="129" spans="1:20" x14ac:dyDescent="0.2">
      <c r="A129" s="296" t="s">
        <v>4212</v>
      </c>
      <c r="B129" s="4">
        <v>20.876651063062312</v>
      </c>
      <c r="C129" s="4">
        <v>16.204072174305271</v>
      </c>
      <c r="D129" s="4">
        <v>-4.6725788887570401</v>
      </c>
      <c r="E129" s="4718" t="str">
        <f>IF(       0.093&lt;0.01,"***",IF(       0.093&lt;0.05,"**",IF(       0.093&lt;0.1,"*","NS")))</f>
        <v>*</v>
      </c>
      <c r="G129" s="296" t="s">
        <v>4252</v>
      </c>
      <c r="H129" s="4">
        <v>20.876651063062312</v>
      </c>
      <c r="I129" s="4">
        <v>18.262007911854919</v>
      </c>
      <c r="J129" s="4">
        <v>-2.6146431512073742</v>
      </c>
      <c r="K129" s="4719" t="str">
        <f>IF(       0.383&lt;0.01,"***",IF(       0.383&lt;0.05,"**",IF(       0.383&lt;0.1,"*","NS")))</f>
        <v>NS</v>
      </c>
      <c r="L129" s="4">
        <v>10.864446092164931</v>
      </c>
      <c r="M129" s="4">
        <v>-10.012204970897406</v>
      </c>
      <c r="N129" s="4720" t="str">
        <f>IF(       0.018&lt;0.01,"***",IF(       0.018&lt;0.05,"**",IF(       0.018&lt;0.1,"*","NS")))</f>
        <v>**</v>
      </c>
      <c r="P129" s="296" t="s">
        <v>4298</v>
      </c>
      <c r="Q129" s="4">
        <v>19.48784013835682</v>
      </c>
      <c r="R129" s="4">
        <v>10.864446092164931</v>
      </c>
      <c r="S129" s="4">
        <v>-8.623394046191887</v>
      </c>
      <c r="T129" s="4721" t="str">
        <f>IF(       0.034&lt;0.01,"***",IF(       0.034&lt;0.05,"**",IF(       0.034&lt;0.1,"*","NS")))</f>
        <v>**</v>
      </c>
    </row>
    <row r="130" spans="1:20" x14ac:dyDescent="0.2">
      <c r="A130" s="296" t="s">
        <v>4213</v>
      </c>
      <c r="B130" s="4">
        <v>28.836108551683271</v>
      </c>
      <c r="C130" s="4">
        <v>15.51297078409903</v>
      </c>
      <c r="D130" s="4">
        <v>-13.323137767584182</v>
      </c>
      <c r="E130" s="4722" t="str">
        <f>IF(       0.001&lt;0.01,"***",IF(       0.001&lt;0.05,"**",IF(       0.001&lt;0.1,"*","NS")))</f>
        <v>***</v>
      </c>
      <c r="G130" s="296" t="s">
        <v>4253</v>
      </c>
      <c r="H130" s="4">
        <v>28.836108551683271</v>
      </c>
      <c r="I130" s="4">
        <v>19.27443800867789</v>
      </c>
      <c r="J130" s="4">
        <v>-9.5616705430053717</v>
      </c>
      <c r="K130" s="4723" t="str">
        <f>IF(       0.013&lt;0.01,"***",IF(       0.013&lt;0.05,"**",IF(       0.013&lt;0.1,"*","NS")))</f>
        <v>**</v>
      </c>
      <c r="L130" s="4">
        <v>10.90842648776729</v>
      </c>
      <c r="M130" s="4">
        <v>-17.927682063915977</v>
      </c>
      <c r="N130" s="4724" t="str">
        <f>IF(       0&lt;0.01,"***",IF(       0&lt;0.05,"**",IF(       0&lt;0.1,"*","NS")))</f>
        <v>***</v>
      </c>
      <c r="P130" s="296" t="s">
        <v>4299</v>
      </c>
      <c r="Q130" s="4">
        <v>22.733164228468421</v>
      </c>
      <c r="R130" s="4">
        <v>10.90842648776729</v>
      </c>
      <c r="S130" s="4">
        <v>-11.824737740701046</v>
      </c>
      <c r="T130" s="4725" t="str">
        <f>IF(       0&lt;0.01,"***",IF(       0&lt;0.05,"**",IF(       0&lt;0.1,"*","NS")))</f>
        <v>***</v>
      </c>
    </row>
    <row r="131" spans="1:20" x14ac:dyDescent="0.2">
      <c r="A131" s="296" t="s">
        <v>4214</v>
      </c>
      <c r="B131" s="4">
        <v>19.067598124474831</v>
      </c>
      <c r="C131" s="4">
        <v>16.087993986759269</v>
      </c>
      <c r="D131" s="4">
        <v>-2.979604137715548</v>
      </c>
      <c r="E131" s="4726" t="str">
        <f>IF(       0.267&lt;0.01,"***",IF(       0.267&lt;0.05,"**",IF(       0.267&lt;0.1,"*","NS")))</f>
        <v>NS</v>
      </c>
      <c r="G131" s="296" t="s">
        <v>4254</v>
      </c>
      <c r="H131" s="4">
        <v>19.067598124474831</v>
      </c>
      <c r="I131" s="4">
        <v>17.90954229122141</v>
      </c>
      <c r="J131" s="4">
        <v>-1.1580558332534194</v>
      </c>
      <c r="K131" s="4727" t="str">
        <f>IF(       0.719&lt;0.01,"***",IF(       0.719&lt;0.05,"**",IF(       0.719&lt;0.1,"*","NS")))</f>
        <v>NS</v>
      </c>
      <c r="L131" s="4">
        <v>12.466336396951229</v>
      </c>
      <c r="M131" s="4">
        <v>-6.601261727523573</v>
      </c>
      <c r="N131" s="4728" t="str">
        <f>IF(       0.053&lt;0.01,"***",IF(       0.053&lt;0.05,"**",IF(       0.053&lt;0.1,"*","NS")))</f>
        <v>*</v>
      </c>
      <c r="P131" s="296" t="s">
        <v>4300</v>
      </c>
      <c r="Q131" s="4">
        <v>18.452557017220759</v>
      </c>
      <c r="R131" s="4">
        <v>12.466336396951229</v>
      </c>
      <c r="S131" s="4">
        <v>-5.9862206202695205</v>
      </c>
      <c r="T131" s="4729" t="str">
        <f>IF(       0.072&lt;0.01,"***",IF(       0.072&lt;0.05,"**",IF(       0.072&lt;0.1,"*","NS")))</f>
        <v>*</v>
      </c>
    </row>
    <row r="132" spans="1:20" x14ac:dyDescent="0.2">
      <c r="A132" s="296" t="s">
        <v>5835</v>
      </c>
      <c r="B132" s="4">
        <v>28.27780992744206</v>
      </c>
      <c r="C132" s="4">
        <v>18.591198950173549</v>
      </c>
      <c r="D132" s="4">
        <v>-9.6866109772685132</v>
      </c>
      <c r="E132" s="4730" t="str">
        <f>IF(       0&lt;0.01,"***",IF(       0&lt;0.05,"**",IF(       0&lt;0.1,"*","NS")))</f>
        <v>***</v>
      </c>
      <c r="G132" s="296" t="s">
        <v>5835</v>
      </c>
      <c r="H132" s="4">
        <v>28.27780992744206</v>
      </c>
      <c r="I132" s="4">
        <v>21.613198607109229</v>
      </c>
      <c r="J132" s="4">
        <v>-6.6646113203328525</v>
      </c>
      <c r="K132" s="4731" t="str">
        <f>IF(       0&lt;0.01,"***",IF(       0&lt;0.05,"**",IF(       0&lt;0.1,"*","NS")))</f>
        <v>***</v>
      </c>
      <c r="L132" s="4">
        <v>12.766133762072579</v>
      </c>
      <c r="M132" s="4">
        <v>-15.511676165369478</v>
      </c>
      <c r="N132" s="4732" t="str">
        <f>IF(       0&lt;0.01,"***",IF(       0&lt;0.05,"**",IF(       0&lt;0.1,"*","NS")))</f>
        <v>***</v>
      </c>
      <c r="P132" s="296" t="s">
        <v>5835</v>
      </c>
      <c r="Q132" s="4">
        <v>24.47222628753941</v>
      </c>
      <c r="R132" s="4">
        <v>12.766133762072579</v>
      </c>
      <c r="S132" s="4">
        <v>-11.706092525466737</v>
      </c>
      <c r="T132" s="4733" t="str">
        <f>IF(       0&lt;0.01,"***",IF(       0&lt;0.05,"**",IF(       0&lt;0.1,"*","NS")))</f>
        <v>***</v>
      </c>
    </row>
  </sheetData>
  <pageMargins left="0.7" right="0.7" top="0.75" bottom="0.75" header="0.3" footer="0.3"/>
  <tableParts count="21">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132"/>
  <sheetViews>
    <sheetView zoomScaleNormal="100" workbookViewId="0">
      <selection activeCell="D14" sqref="D14"/>
    </sheetView>
  </sheetViews>
  <sheetFormatPr baseColWidth="10" defaultColWidth="8.83203125" defaultRowHeight="15" x14ac:dyDescent="0.2"/>
  <cols>
    <col min="1" max="1" width="9.33203125" style="296" customWidth="1"/>
    <col min="2" max="5" width="15.83203125" style="4" customWidth="1"/>
    <col min="6" max="6" width="8.83203125" style="4"/>
    <col min="7" max="7" width="15.83203125" style="296" customWidth="1"/>
    <col min="8" max="14" width="15.83203125" style="4" customWidth="1"/>
    <col min="15" max="15" width="8.83203125" style="4"/>
    <col min="16" max="16" width="15.83203125" style="296" customWidth="1"/>
    <col min="17" max="20" width="15.83203125" style="4" customWidth="1"/>
    <col min="21" max="16384" width="8.83203125" style="4"/>
  </cols>
  <sheetData>
    <row r="1" spans="1:20" x14ac:dyDescent="0.2">
      <c r="A1" s="296" t="s">
        <v>981</v>
      </c>
      <c r="G1" s="296" t="s">
        <v>1085</v>
      </c>
      <c r="P1" s="296" t="s">
        <v>1204</v>
      </c>
    </row>
    <row r="2" spans="1:20" s="3" customFormat="1" x14ac:dyDescent="0.2">
      <c r="A2" s="6252" t="s">
        <v>982</v>
      </c>
      <c r="B2" s="6253" t="s">
        <v>983</v>
      </c>
      <c r="C2" s="6254" t="s">
        <v>984</v>
      </c>
      <c r="D2" s="6255" t="s">
        <v>985</v>
      </c>
      <c r="E2" s="6256" t="s">
        <v>986</v>
      </c>
      <c r="G2" s="6257" t="s">
        <v>1086</v>
      </c>
      <c r="H2" s="6258" t="s">
        <v>1087</v>
      </c>
      <c r="I2" s="6259" t="s">
        <v>1088</v>
      </c>
      <c r="J2" s="6260" t="s">
        <v>1089</v>
      </c>
      <c r="K2" s="6261" t="s">
        <v>1090</v>
      </c>
      <c r="L2" s="6262" t="s">
        <v>1189</v>
      </c>
      <c r="M2" s="6263" t="s">
        <v>1190</v>
      </c>
      <c r="N2" s="6264" t="s">
        <v>1191</v>
      </c>
      <c r="P2" s="6265" t="s">
        <v>1205</v>
      </c>
      <c r="Q2" s="6266" t="s">
        <v>1206</v>
      </c>
      <c r="R2" s="6267" t="s">
        <v>1207</v>
      </c>
      <c r="S2" s="6268" t="s">
        <v>1208</v>
      </c>
      <c r="T2" s="6269" t="s">
        <v>1209</v>
      </c>
    </row>
    <row r="3" spans="1:20" x14ac:dyDescent="0.2">
      <c r="A3" s="296" t="s">
        <v>987</v>
      </c>
      <c r="B3" s="4">
        <v>12.776348982329189</v>
      </c>
      <c r="C3" s="4">
        <v>6.8219811815969988</v>
      </c>
      <c r="D3" s="4">
        <v>-5.9543678007321281</v>
      </c>
      <c r="E3" s="3966" t="str">
        <f>IF(       0&lt;0.01,"***",IF(       0&lt;0.05,"**",IF(       0&lt;0.1,"*","NS")))</f>
        <v>***</v>
      </c>
      <c r="G3" s="296" t="s">
        <v>1091</v>
      </c>
      <c r="H3" s="4">
        <v>12.776348982329189</v>
      </c>
      <c r="I3" s="4">
        <v>8.0755145506365889</v>
      </c>
      <c r="J3" s="4">
        <v>-4.7008344316925514</v>
      </c>
      <c r="K3" s="3967" t="str">
        <f>IF(       0.001&lt;0.01,"***",IF(       0.001&lt;0.05,"**",IF(       0.001&lt;0.1,"*","NS")))</f>
        <v>***</v>
      </c>
      <c r="L3" s="4">
        <v>1.932113481641744</v>
      </c>
      <c r="M3" s="4">
        <v>-10.844235500687537</v>
      </c>
      <c r="N3" s="3968" t="str">
        <f>IF(       0&lt;0.01,"***",IF(       0&lt;0.05,"**",IF(       0&lt;0.1,"*","NS")))</f>
        <v>***</v>
      </c>
      <c r="P3" s="296" t="s">
        <v>1210</v>
      </c>
      <c r="Q3" s="4">
        <v>11.0926625308627</v>
      </c>
      <c r="R3" s="4">
        <v>1.932113481641744</v>
      </c>
      <c r="S3" s="4">
        <v>-9.1605490492209327</v>
      </c>
      <c r="T3" s="3969" t="str">
        <f>IF(       0&lt;0.01,"***",IF(       0&lt;0.05,"**",IF(       0&lt;0.1,"*","NS")))</f>
        <v>***</v>
      </c>
    </row>
    <row r="4" spans="1:20" x14ac:dyDescent="0.2">
      <c r="A4" s="296" t="s">
        <v>988</v>
      </c>
      <c r="B4" s="4">
        <v>10.878299623722359</v>
      </c>
      <c r="C4" s="4">
        <v>4.8056590352526651</v>
      </c>
      <c r="D4" s="4">
        <v>-6.0726405884696604</v>
      </c>
      <c r="E4" s="3970" t="str">
        <f>IF(       0&lt;0.01,"***",IF(       0&lt;0.05,"**",IF(       0&lt;0.1,"*","NS")))</f>
        <v>***</v>
      </c>
      <c r="G4" s="296" t="s">
        <v>1092</v>
      </c>
      <c r="H4" s="4">
        <v>10.878299623722359</v>
      </c>
      <c r="I4" s="4">
        <v>5.6087401783493069</v>
      </c>
      <c r="J4" s="4">
        <v>-5.269559445373063</v>
      </c>
      <c r="K4" s="3971" t="str">
        <f>IF(       0&lt;0.01,"***",IF(       0&lt;0.05,"**",IF(       0&lt;0.1,"*","NS")))</f>
        <v>***</v>
      </c>
      <c r="L4" s="4">
        <v>2.7003946233332319</v>
      </c>
      <c r="M4" s="4">
        <v>-8.1779050003891172</v>
      </c>
      <c r="N4" s="3972" t="str">
        <f>IF(       0&lt;0.01,"***",IF(       0&lt;0.05,"**",IF(       0&lt;0.1,"*","NS")))</f>
        <v>***</v>
      </c>
      <c r="P4" s="296" t="s">
        <v>1211</v>
      </c>
      <c r="Q4" s="4">
        <v>9.3553394942899217</v>
      </c>
      <c r="R4" s="4">
        <v>2.7003946233332319</v>
      </c>
      <c r="S4" s="4">
        <v>-6.6549448709568342</v>
      </c>
      <c r="T4" s="3973" t="str">
        <f>IF(       0&lt;0.01,"***",IF(       0&lt;0.05,"**",IF(       0&lt;0.1,"*","NS")))</f>
        <v>***</v>
      </c>
    </row>
    <row r="5" spans="1:20" x14ac:dyDescent="0.2">
      <c r="A5" s="296" t="s">
        <v>989</v>
      </c>
      <c r="B5" s="4">
        <v>7.8104907482977071</v>
      </c>
      <c r="C5" s="4">
        <v>4.7281197976869418</v>
      </c>
      <c r="D5" s="4">
        <v>-3.0823709506108052</v>
      </c>
      <c r="E5" s="3974" t="str">
        <f>IF(       0.026&lt;0.01,"***",IF(       0.026&lt;0.05,"**",IF(       0.026&lt;0.1,"*","NS")))</f>
        <v>**</v>
      </c>
      <c r="G5" s="296" t="s">
        <v>1093</v>
      </c>
      <c r="H5" s="4">
        <v>7.8104907482977071</v>
      </c>
      <c r="I5" s="4">
        <v>5.0793825044810683</v>
      </c>
      <c r="J5" s="4">
        <v>-2.7311082438166356</v>
      </c>
      <c r="K5" s="3975" t="str">
        <f>IF(       0.024&lt;0.01,"***",IF(       0.024&lt;0.05,"**",IF(       0.024&lt;0.1,"*","NS")))</f>
        <v>**</v>
      </c>
      <c r="L5" s="4">
        <v>3.6753929078363838</v>
      </c>
      <c r="M5" s="4">
        <v>-4.1350978404613654</v>
      </c>
      <c r="N5" s="3976" t="str">
        <f>IF(       0.083&lt;0.01,"***",IF(       0.083&lt;0.05,"**",IF(       0.083&lt;0.1,"*","NS")))</f>
        <v>*</v>
      </c>
      <c r="P5" s="296" t="s">
        <v>1212</v>
      </c>
      <c r="Q5" s="4">
        <v>7.1657157292474416</v>
      </c>
      <c r="R5" s="4">
        <v>3.6753929078363838</v>
      </c>
      <c r="S5" s="4">
        <v>-3.4903228214110595</v>
      </c>
      <c r="T5" s="3977" t="str">
        <f>IF(       0.114&lt;0.01,"***",IF(       0.114&lt;0.05,"**",IF(       0.114&lt;0.1,"*","NS")))</f>
        <v>NS</v>
      </c>
    </row>
    <row r="6" spans="1:20" x14ac:dyDescent="0.2">
      <c r="A6" s="296" t="s">
        <v>990</v>
      </c>
      <c r="B6" s="4">
        <v>6.3279626494536334</v>
      </c>
      <c r="C6" s="4">
        <v>5.3964085841635701</v>
      </c>
      <c r="D6" s="4">
        <v>-0.93155406529004359</v>
      </c>
      <c r="E6" s="3978" t="str">
        <f>IF(       0.316&lt;0.01,"***",IF(       0.316&lt;0.05,"**",IF(       0.316&lt;0.1,"*","NS")))</f>
        <v>NS</v>
      </c>
      <c r="G6" s="296" t="s">
        <v>1094</v>
      </c>
      <c r="H6" s="4">
        <v>6.3279626494536334</v>
      </c>
      <c r="I6" s="4">
        <v>6.1916475070677057</v>
      </c>
      <c r="J6" s="4">
        <v>-0.13631514238593179</v>
      </c>
      <c r="K6" s="3979" t="str">
        <f>IF(       0.893&lt;0.01,"***",IF(       0.893&lt;0.05,"**",IF(       0.893&lt;0.1,"*","NS")))</f>
        <v>NS</v>
      </c>
      <c r="L6" s="4">
        <v>2.3832552608433519</v>
      </c>
      <c r="M6" s="4">
        <v>-3.9447073886103108</v>
      </c>
      <c r="N6" s="3980" t="str">
        <f>IF(       0.003&lt;0.01,"***",IF(       0.003&lt;0.05,"**",IF(       0.003&lt;0.1,"*","NS")))</f>
        <v>***</v>
      </c>
      <c r="P6" s="296" t="s">
        <v>1213</v>
      </c>
      <c r="Q6" s="4">
        <v>6.2881249556992822</v>
      </c>
      <c r="R6" s="4">
        <v>2.3832552608433519</v>
      </c>
      <c r="S6" s="4">
        <v>-3.9048696948558903</v>
      </c>
      <c r="T6" s="3981" t="str">
        <f>IF(       0.002&lt;0.01,"***",IF(       0.002&lt;0.05,"**",IF(       0.002&lt;0.1,"*","NS")))</f>
        <v>***</v>
      </c>
    </row>
    <row r="7" spans="1:20" x14ac:dyDescent="0.2">
      <c r="A7" s="296" t="s">
        <v>991</v>
      </c>
      <c r="B7" s="4">
        <v>7.1627678881129464</v>
      </c>
      <c r="C7" s="4">
        <v>4.4042457682315046</v>
      </c>
      <c r="D7" s="4">
        <v>-2.7585221198814169</v>
      </c>
      <c r="E7" s="3982" t="str">
        <f>IF(       0.007&lt;0.01,"***",IF(       0.007&lt;0.05,"**",IF(       0.007&lt;0.1,"*","NS")))</f>
        <v>***</v>
      </c>
      <c r="G7" s="296" t="s">
        <v>1095</v>
      </c>
      <c r="H7" s="4">
        <v>7.1627678881129464</v>
      </c>
      <c r="I7" s="4">
        <v>4.9011655770144262</v>
      </c>
      <c r="J7" s="4">
        <v>-2.2616023110985268</v>
      </c>
      <c r="K7" s="3983" t="str">
        <f>IF(       0.019&lt;0.01,"***",IF(       0.019&lt;0.05,"**",IF(       0.019&lt;0.1,"*","NS")))</f>
        <v>**</v>
      </c>
      <c r="L7" s="4">
        <v>2.016357950293624</v>
      </c>
      <c r="M7" s="4">
        <v>-5.1464099378193078</v>
      </c>
      <c r="N7" s="3984" t="str">
        <f>IF(       0.022&lt;0.01,"***",IF(       0.022&lt;0.05,"**",IF(       0.022&lt;0.1,"*","NS")))</f>
        <v>**</v>
      </c>
      <c r="P7" s="296" t="s">
        <v>1214</v>
      </c>
      <c r="Q7" s="4">
        <v>6.5627979908419496</v>
      </c>
      <c r="R7" s="4">
        <v>2.016357950293624</v>
      </c>
      <c r="S7" s="4">
        <v>-4.5464400405482426</v>
      </c>
      <c r="T7" s="3985" t="str">
        <f>IF(       0.033&lt;0.01,"***",IF(       0.033&lt;0.05,"**",IF(       0.033&lt;0.1,"*","NS")))</f>
        <v>**</v>
      </c>
    </row>
    <row r="8" spans="1:20" x14ac:dyDescent="0.2">
      <c r="A8" s="296" t="s">
        <v>992</v>
      </c>
      <c r="B8" s="4">
        <v>9.4788423486007325</v>
      </c>
      <c r="C8" s="4">
        <v>4.2464599207690457</v>
      </c>
      <c r="D8" s="4">
        <v>-5.2323824278315136</v>
      </c>
      <c r="E8" s="3986" t="str">
        <f>IF(       0&lt;0.01,"***",IF(       0&lt;0.05,"**",IF(       0&lt;0.1,"*","NS")))</f>
        <v>***</v>
      </c>
      <c r="G8" s="296" t="s">
        <v>1096</v>
      </c>
      <c r="H8" s="4">
        <v>9.4788423486007325</v>
      </c>
      <c r="I8" s="4">
        <v>5.0974461869132028</v>
      </c>
      <c r="J8" s="4">
        <v>-4.3813961616876034</v>
      </c>
      <c r="K8" s="3987" t="str">
        <f>IF(       0.003&lt;0.01,"***",IF(       0.003&lt;0.05,"**",IF(       0.003&lt;0.1,"*","NS")))</f>
        <v>***</v>
      </c>
      <c r="L8" s="4">
        <v>1.5726493054369839</v>
      </c>
      <c r="M8" s="4">
        <v>-7.9061930431637686</v>
      </c>
      <c r="N8" s="3988" t="str">
        <f>IF(       0&lt;0.01,"***",IF(       0&lt;0.05,"**",IF(       0&lt;0.1,"*","NS")))</f>
        <v>***</v>
      </c>
      <c r="P8" s="296" t="s">
        <v>1215</v>
      </c>
      <c r="Q8" s="4">
        <v>8.2457930687494336</v>
      </c>
      <c r="R8" s="4">
        <v>1.5726493054369839</v>
      </c>
      <c r="S8" s="4">
        <v>-6.6731437633126447</v>
      </c>
      <c r="T8" s="3989" t="str">
        <f>IF(       0&lt;0.01,"***",IF(       0&lt;0.05,"**",IF(       0&lt;0.1,"*","NS")))</f>
        <v>***</v>
      </c>
    </row>
    <row r="9" spans="1:20" x14ac:dyDescent="0.2">
      <c r="A9" s="296" t="s">
        <v>993</v>
      </c>
      <c r="B9" s="4">
        <v>33.836947602482823</v>
      </c>
      <c r="C9" s="4">
        <v>26.293849967968729</v>
      </c>
      <c r="D9" s="4">
        <v>-7.543097634514063</v>
      </c>
      <c r="E9" s="3990" t="str">
        <f>IF(       0.007&lt;0.01,"***",IF(       0.007&lt;0.05,"**",IF(       0.007&lt;0.1,"*","NS")))</f>
        <v>***</v>
      </c>
      <c r="G9" s="296" t="s">
        <v>1097</v>
      </c>
      <c r="H9" s="4">
        <v>33.836947602482823</v>
      </c>
      <c r="I9" s="4">
        <v>27.221308082829271</v>
      </c>
      <c r="J9" s="4">
        <v>-6.615639519653544</v>
      </c>
      <c r="K9" s="3991" t="str">
        <f>IF(       0.033&lt;0.01,"***",IF(       0.033&lt;0.05,"**",IF(       0.033&lt;0.1,"*","NS")))</f>
        <v>**</v>
      </c>
      <c r="L9" s="4">
        <v>21.918435403057408</v>
      </c>
      <c r="M9" s="4">
        <v>-11.918512199425328</v>
      </c>
      <c r="N9" s="3992" t="str">
        <f>IF(       0.061&lt;0.01,"***",IF(       0.061&lt;0.05,"**",IF(       0.061&lt;0.1,"*","NS")))</f>
        <v>*</v>
      </c>
      <c r="P9" s="296" t="s">
        <v>1216</v>
      </c>
      <c r="Q9" s="4">
        <v>32.846493696450189</v>
      </c>
      <c r="R9" s="4">
        <v>21.918435403057408</v>
      </c>
      <c r="S9" s="4">
        <v>-10.928058293392928</v>
      </c>
      <c r="T9" s="3993" t="str">
        <f>IF(       0.087&lt;0.01,"***",IF(       0.087&lt;0.05,"**",IF(       0.087&lt;0.1,"*","NS")))</f>
        <v>*</v>
      </c>
    </row>
    <row r="10" spans="1:20" x14ac:dyDescent="0.2">
      <c r="A10" s="296" t="s">
        <v>994</v>
      </c>
      <c r="B10" s="4">
        <v>2.7724027707823979</v>
      </c>
      <c r="C10" s="4">
        <v>2.948135010672595</v>
      </c>
      <c r="D10" s="4">
        <v>0.17573223989019832</v>
      </c>
      <c r="E10" s="3994" t="str">
        <f>IF(       0.857&lt;0.01,"***",IF(       0.857&lt;0.05,"**",IF(       0.857&lt;0.1,"*","NS")))</f>
        <v>NS</v>
      </c>
      <c r="G10" s="296" t="s">
        <v>1098</v>
      </c>
      <c r="H10" s="4">
        <v>2.7724027707823979</v>
      </c>
      <c r="I10" s="4">
        <v>3.180867902257015</v>
      </c>
      <c r="J10" s="4">
        <v>0.40846513147461727</v>
      </c>
      <c r="K10" s="3995" t="str">
        <f>IF(       0.711&lt;0.01,"***",IF(       0.711&lt;0.05,"**",IF(       0.711&lt;0.1,"*","NS")))</f>
        <v>NS</v>
      </c>
      <c r="L10" s="4">
        <v>2.188078422312612</v>
      </c>
      <c r="M10" s="4">
        <v>-0.5843243484697821</v>
      </c>
      <c r="N10" s="3996" t="str">
        <f>IF(       0.534&lt;0.01,"***",IF(       0.534&lt;0.05,"**",IF(       0.534&lt;0.1,"*","NS")))</f>
        <v>NS</v>
      </c>
      <c r="P10" s="296" t="s">
        <v>1217</v>
      </c>
      <c r="Q10" s="4">
        <v>2.8478973162828138</v>
      </c>
      <c r="R10" s="4">
        <v>2.188078422312612</v>
      </c>
      <c r="S10" s="4">
        <v>-0.65981889397019811</v>
      </c>
      <c r="T10" s="3997" t="str">
        <f>IF(       0.433&lt;0.01,"***",IF(       0.433&lt;0.05,"**",IF(       0.433&lt;0.1,"*","NS")))</f>
        <v>NS</v>
      </c>
    </row>
    <row r="11" spans="1:20" x14ac:dyDescent="0.2">
      <c r="A11" s="296" t="s">
        <v>995</v>
      </c>
      <c r="B11" s="4">
        <v>13.55345402939829</v>
      </c>
      <c r="C11" s="4">
        <v>4.9845801693555174</v>
      </c>
      <c r="D11" s="4">
        <v>-8.5688738600428227</v>
      </c>
      <c r="E11" s="3998" t="str">
        <f>IF(       0&lt;0.01,"***",IF(       0&lt;0.05,"**",IF(       0&lt;0.1,"*","NS")))</f>
        <v>***</v>
      </c>
      <c r="G11" s="296" t="s">
        <v>1099</v>
      </c>
      <c r="H11" s="4">
        <v>13.55345402939829</v>
      </c>
      <c r="I11" s="4">
        <v>6.5250595739707578</v>
      </c>
      <c r="J11" s="4">
        <v>-7.028394455427593</v>
      </c>
      <c r="K11" s="3999" t="str">
        <f>IF(       0&lt;0.01,"***",IF(       0&lt;0.05,"**",IF(       0&lt;0.1,"*","NS")))</f>
        <v>***</v>
      </c>
      <c r="L11" s="4">
        <v>2.517079851061446</v>
      </c>
      <c r="M11" s="4">
        <v>-11.036374178336786</v>
      </c>
      <c r="N11" s="4000" t="str">
        <f>IF(       0&lt;0.01,"***",IF(       0&lt;0.05,"**",IF(       0&lt;0.1,"*","NS")))</f>
        <v>***</v>
      </c>
      <c r="P11" s="296" t="s">
        <v>1218</v>
      </c>
      <c r="Q11" s="4">
        <v>11.17112534113363</v>
      </c>
      <c r="R11" s="4">
        <v>2.517079851061446</v>
      </c>
      <c r="S11" s="4">
        <v>-8.6540454900722512</v>
      </c>
      <c r="T11" s="4001" t="str">
        <f>IF(       0&lt;0.01,"***",IF(       0&lt;0.05,"**",IF(       0&lt;0.1,"*","NS")))</f>
        <v>***</v>
      </c>
    </row>
    <row r="12" spans="1:20" x14ac:dyDescent="0.2">
      <c r="A12" s="296" t="s">
        <v>996</v>
      </c>
      <c r="B12" s="4">
        <v>9.5841961539704563</v>
      </c>
      <c r="C12" s="4">
        <v>5.0775281817894333</v>
      </c>
      <c r="D12" s="4">
        <v>-4.506667972180975</v>
      </c>
      <c r="E12" s="4002" t="str">
        <f>IF(       0&lt;0.01,"***",IF(       0&lt;0.05,"**",IF(       0&lt;0.1,"*","NS")))</f>
        <v>***</v>
      </c>
      <c r="G12" s="296" t="s">
        <v>1100</v>
      </c>
      <c r="H12" s="4">
        <v>9.5841961539704563</v>
      </c>
      <c r="I12" s="4">
        <v>5.7575840224039636</v>
      </c>
      <c r="J12" s="4">
        <v>-3.826612131566498</v>
      </c>
      <c r="K12" s="4003" t="str">
        <f>IF(       0.003&lt;0.01,"***",IF(       0.003&lt;0.05,"**",IF(       0.003&lt;0.1,"*","NS")))</f>
        <v>***</v>
      </c>
      <c r="L12" s="4">
        <v>2.8588883629334658</v>
      </c>
      <c r="M12" s="4">
        <v>-6.725307791036907</v>
      </c>
      <c r="N12" s="4004" t="str">
        <f>IF(       0&lt;0.01,"***",IF(       0&lt;0.05,"**",IF(       0&lt;0.1,"*","NS")))</f>
        <v>***</v>
      </c>
      <c r="P12" s="296" t="s">
        <v>1219</v>
      </c>
      <c r="Q12" s="4">
        <v>8.1060748414869579</v>
      </c>
      <c r="R12" s="4">
        <v>2.8588883629334658</v>
      </c>
      <c r="S12" s="4">
        <v>-5.2471864785535596</v>
      </c>
      <c r="T12" s="4005" t="str">
        <f>IF(       0&lt;0.01,"***",IF(       0&lt;0.05,"**",IF(       0&lt;0.1,"*","NS")))</f>
        <v>***</v>
      </c>
    </row>
    <row r="13" spans="1:20" x14ac:dyDescent="0.2">
      <c r="A13" s="296" t="s">
        <v>997</v>
      </c>
      <c r="B13" s="4">
        <v>13.62596022990731</v>
      </c>
      <c r="C13" s="4">
        <v>4.464518092338829</v>
      </c>
      <c r="D13" s="4">
        <v>-9.161442137568713</v>
      </c>
      <c r="E13" s="4006" t="str">
        <f>IF(       0&lt;0.01,"***",IF(       0&lt;0.05,"**",IF(       0&lt;0.1,"*","NS")))</f>
        <v>***</v>
      </c>
      <c r="G13" s="296" t="s">
        <v>1101</v>
      </c>
      <c r="H13" s="4">
        <v>13.62596022990731</v>
      </c>
      <c r="I13" s="4">
        <v>4.9754230349983706</v>
      </c>
      <c r="J13" s="4">
        <v>-8.6505371949089511</v>
      </c>
      <c r="K13" s="4007" t="str">
        <f>IF(       0&lt;0.01,"***",IF(       0&lt;0.05,"**",IF(       0&lt;0.1,"*","NS")))</f>
        <v>***</v>
      </c>
      <c r="L13" s="4">
        <v>3.0367470152664189</v>
      </c>
      <c r="M13" s="4">
        <v>-10.589213214640914</v>
      </c>
      <c r="N13" s="4008" t="str">
        <f>IF(       0&lt;0.01,"***",IF(       0&lt;0.05,"**",IF(       0&lt;0.1,"*","NS")))</f>
        <v>***</v>
      </c>
      <c r="P13" s="296" t="s">
        <v>1220</v>
      </c>
      <c r="Q13" s="4">
        <v>11.550422907087359</v>
      </c>
      <c r="R13" s="4">
        <v>3.0367470152664189</v>
      </c>
      <c r="S13" s="4">
        <v>-8.513675891821018</v>
      </c>
      <c r="T13" s="4009" t="str">
        <f>IF(       0&lt;0.01,"***",IF(       0&lt;0.05,"**",IF(       0&lt;0.1,"*","NS")))</f>
        <v>***</v>
      </c>
    </row>
    <row r="14" spans="1:20" x14ac:dyDescent="0.2">
      <c r="A14" s="296" t="s">
        <v>998</v>
      </c>
      <c r="B14" s="4">
        <v>25.227109037807381</v>
      </c>
      <c r="C14" s="4">
        <v>13.265843005705991</v>
      </c>
      <c r="D14" s="4">
        <v>-11.961266032101292</v>
      </c>
      <c r="E14" s="4010" t="str">
        <f>IF(       0&lt;0.01,"***",IF(       0&lt;0.05,"**",IF(       0&lt;0.1,"*","NS")))</f>
        <v>***</v>
      </c>
      <c r="G14" s="296" t="s">
        <v>1102</v>
      </c>
      <c r="H14" s="4">
        <v>25.227109037807381</v>
      </c>
      <c r="I14" s="4">
        <v>15.01150578018621</v>
      </c>
      <c r="J14" s="4">
        <v>-10.21560325762136</v>
      </c>
      <c r="K14" s="4011" t="str">
        <f>IF(       0&lt;0.01,"***",IF(       0&lt;0.05,"**",IF(       0&lt;0.1,"*","NS")))</f>
        <v>***</v>
      </c>
      <c r="L14" s="4">
        <v>8.071179148376336</v>
      </c>
      <c r="M14" s="4">
        <v>-17.155929889430837</v>
      </c>
      <c r="N14" s="4012" t="str">
        <f>IF(       0&lt;0.01,"***",IF(       0&lt;0.05,"**",IF(       0&lt;0.1,"*","NS")))</f>
        <v>***</v>
      </c>
      <c r="P14" s="296" t="s">
        <v>1221</v>
      </c>
      <c r="Q14" s="4">
        <v>22.990384985624281</v>
      </c>
      <c r="R14" s="4">
        <v>8.071179148376336</v>
      </c>
      <c r="S14" s="4">
        <v>-14.919205837247553</v>
      </c>
      <c r="T14" s="4013" t="str">
        <f>IF(       0&lt;0.01,"***",IF(       0&lt;0.05,"**",IF(       0&lt;0.1,"*","NS")))</f>
        <v>***</v>
      </c>
    </row>
    <row r="15" spans="1:20" x14ac:dyDescent="0.2">
      <c r="A15" s="296" t="s">
        <v>999</v>
      </c>
      <c r="B15" s="4">
        <v>11.60638674319976</v>
      </c>
      <c r="C15" s="4">
        <v>6.1138021305169126</v>
      </c>
      <c r="D15" s="4">
        <v>-5.4925846126828173</v>
      </c>
      <c r="E15" s="4014" t="str">
        <f>IF(       0&lt;0.01,"***",IF(       0&lt;0.05,"**",IF(       0&lt;0.1,"*","NS")))</f>
        <v>***</v>
      </c>
      <c r="G15" s="296" t="s">
        <v>1103</v>
      </c>
      <c r="H15" s="4">
        <v>11.60638674319976</v>
      </c>
      <c r="I15" s="4">
        <v>6.6016218924329717</v>
      </c>
      <c r="J15" s="4">
        <v>-5.0047648507668505</v>
      </c>
      <c r="K15" s="4015" t="str">
        <f>IF(       0&lt;0.01,"***",IF(       0&lt;0.05,"**",IF(       0&lt;0.1,"*","NS")))</f>
        <v>***</v>
      </c>
      <c r="L15" s="4">
        <v>4.5987426105077587</v>
      </c>
      <c r="M15" s="4">
        <v>-7.0076441326918673</v>
      </c>
      <c r="N15" s="4016" t="str">
        <f>IF(       0.026&lt;0.01,"***",IF(       0.026&lt;0.05,"**",IF(       0.026&lt;0.1,"*","NS")))</f>
        <v>**</v>
      </c>
      <c r="P15" s="296" t="s">
        <v>1222</v>
      </c>
      <c r="Q15" s="4">
        <v>10.4816904253794</v>
      </c>
      <c r="R15" s="4">
        <v>4.5987426105077587</v>
      </c>
      <c r="S15" s="4">
        <v>-5.8829478148716543</v>
      </c>
      <c r="T15" s="4017" t="str">
        <f>IF(       0.051&lt;0.01,"***",IF(       0.051&lt;0.05,"**",IF(       0.051&lt;0.1,"*","NS")))</f>
        <v>*</v>
      </c>
    </row>
    <row r="16" spans="1:20" x14ac:dyDescent="0.2">
      <c r="A16" s="296" t="s">
        <v>1000</v>
      </c>
      <c r="B16" s="4">
        <v>6.0594175078508012</v>
      </c>
      <c r="C16" s="4">
        <v>4.4231642643836606</v>
      </c>
      <c r="D16" s="4">
        <v>-1.6362532434671473</v>
      </c>
      <c r="E16" s="4018" t="str">
        <f>IF(       0.051&lt;0.01,"***",IF(       0.051&lt;0.05,"**",IF(       0.051&lt;0.1,"*","NS")))</f>
        <v>*</v>
      </c>
      <c r="G16" s="296" t="s">
        <v>1104</v>
      </c>
      <c r="H16" s="4">
        <v>6.0594175078508012</v>
      </c>
      <c r="I16" s="4">
        <v>4.5996347313827153</v>
      </c>
      <c r="J16" s="4">
        <v>-1.4597827764680489</v>
      </c>
      <c r="K16" s="4019" t="str">
        <f>IF(       0.091&lt;0.01,"***",IF(       0.091&lt;0.05,"**",IF(       0.091&lt;0.1,"*","NS")))</f>
        <v>*</v>
      </c>
      <c r="L16" s="4">
        <v>4.0306151442379097</v>
      </c>
      <c r="M16" s="4">
        <v>-2.0288023636128858</v>
      </c>
      <c r="N16" s="4020" t="str">
        <f>IF(       0.058&lt;0.01,"***",IF(       0.058&lt;0.05,"**",IF(       0.058&lt;0.1,"*","NS")))</f>
        <v>*</v>
      </c>
      <c r="P16" s="296" t="s">
        <v>1223</v>
      </c>
      <c r="Q16" s="4">
        <v>5.5782546428263942</v>
      </c>
      <c r="R16" s="4">
        <v>4.0306151442379097</v>
      </c>
      <c r="S16" s="4">
        <v>-1.5476394985884698</v>
      </c>
      <c r="T16" s="4021" t="str">
        <f>IF(       0.095&lt;0.01,"***",IF(       0.095&lt;0.05,"**",IF(       0.095&lt;0.1,"*","NS")))</f>
        <v>*</v>
      </c>
    </row>
    <row r="17" spans="1:20" x14ac:dyDescent="0.2">
      <c r="A17" s="296" t="s">
        <v>1001</v>
      </c>
      <c r="B17" s="4">
        <v>8.0225634793307066</v>
      </c>
      <c r="C17" s="4">
        <v>5.1222371586926476</v>
      </c>
      <c r="D17" s="4">
        <v>-2.9003263206380456</v>
      </c>
      <c r="E17" s="4022" t="str">
        <f>IF(       0.007&lt;0.01,"***",IF(       0.007&lt;0.05,"**",IF(       0.007&lt;0.1,"*","NS")))</f>
        <v>***</v>
      </c>
      <c r="G17" s="296" t="s">
        <v>1105</v>
      </c>
      <c r="H17" s="4">
        <v>8.0225634793307066</v>
      </c>
      <c r="I17" s="4">
        <v>4.4289939468504276</v>
      </c>
      <c r="J17" s="4">
        <v>-3.5935695324802355</v>
      </c>
      <c r="K17" s="4023" t="str">
        <f>IF(       0.002&lt;0.01,"***",IF(       0.002&lt;0.05,"**",IF(       0.002&lt;0.1,"*","NS")))</f>
        <v>***</v>
      </c>
      <c r="L17" s="4">
        <v>7.3194447292854621</v>
      </c>
      <c r="M17" s="4">
        <v>-0.70311875004524016</v>
      </c>
      <c r="N17" s="4024" t="str">
        <f>IF(       0.724&lt;0.01,"***",IF(       0.724&lt;0.05,"**",IF(       0.724&lt;0.1,"*","NS")))</f>
        <v>NS</v>
      </c>
      <c r="P17" s="296" t="s">
        <v>1224</v>
      </c>
      <c r="Q17" s="4">
        <v>7.088628564273634</v>
      </c>
      <c r="R17" s="4">
        <v>7.3194447292854621</v>
      </c>
      <c r="S17" s="4">
        <v>0.23081616501183505</v>
      </c>
      <c r="T17" s="4025" t="str">
        <f>IF(       0.905&lt;0.01,"***",IF(       0.905&lt;0.05,"**",IF(       0.905&lt;0.1,"*","NS")))</f>
        <v>NS</v>
      </c>
    </row>
    <row r="18" spans="1:20" x14ac:dyDescent="0.2">
      <c r="A18" s="296" t="s">
        <v>5835</v>
      </c>
      <c r="B18" s="4">
        <v>13.19549844920123</v>
      </c>
      <c r="C18" s="4">
        <v>6.3636033263625604</v>
      </c>
      <c r="D18" s="4">
        <v>-6.8318951228389553</v>
      </c>
      <c r="E18" s="4026" t="str">
        <f>IF(       0&lt;0.01,"***",IF(       0&lt;0.05,"**",IF(       0&lt;0.1,"*","NS")))</f>
        <v>***</v>
      </c>
      <c r="G18" s="296" t="s">
        <v>5835</v>
      </c>
      <c r="H18" s="4">
        <v>13.19549844920123</v>
      </c>
      <c r="I18" s="4">
        <v>7.1529882606307069</v>
      </c>
      <c r="J18" s="4">
        <v>-6.0425101885705264</v>
      </c>
      <c r="K18" s="4027" t="str">
        <f>IF(       0&lt;0.01,"***",IF(       0&lt;0.05,"**",IF(       0&lt;0.1,"*","NS")))</f>
        <v>***</v>
      </c>
      <c r="L18" s="4">
        <v>4.0265872143586412</v>
      </c>
      <c r="M18" s="4">
        <v>-9.1689112348424313</v>
      </c>
      <c r="N18" s="4028" t="str">
        <f>IF(       0&lt;0.01,"***",IF(       0&lt;0.05,"**",IF(       0&lt;0.1,"*","NS")))</f>
        <v>***</v>
      </c>
      <c r="P18" s="296" t="s">
        <v>5835</v>
      </c>
      <c r="Q18" s="4">
        <v>11.576080933953399</v>
      </c>
      <c r="R18" s="4">
        <v>4.0265872143586412</v>
      </c>
      <c r="S18" s="4">
        <v>-7.5494937195953673</v>
      </c>
      <c r="T18" s="4029" t="str">
        <f>IF(       0&lt;0.01,"***",IF(       0&lt;0.05,"**",IF(       0&lt;0.1,"*","NS")))</f>
        <v>***</v>
      </c>
    </row>
    <row r="20" spans="1:20" x14ac:dyDescent="0.2">
      <c r="A20" s="296" t="s">
        <v>1002</v>
      </c>
      <c r="G20" s="296" t="s">
        <v>1106</v>
      </c>
      <c r="P20" s="296" t="s">
        <v>1225</v>
      </c>
    </row>
    <row r="21" spans="1:20" s="3" customFormat="1" x14ac:dyDescent="0.2">
      <c r="A21" s="6270" t="s">
        <v>1003</v>
      </c>
      <c r="B21" s="6271" t="s">
        <v>1004</v>
      </c>
      <c r="C21" s="6272" t="s">
        <v>1005</v>
      </c>
      <c r="D21" s="6273" t="s">
        <v>1006</v>
      </c>
      <c r="E21" s="6274" t="s">
        <v>1007</v>
      </c>
      <c r="G21" s="6275" t="s">
        <v>1107</v>
      </c>
      <c r="H21" s="6276" t="s">
        <v>1108</v>
      </c>
      <c r="I21" s="6277" t="s">
        <v>1109</v>
      </c>
      <c r="J21" s="6278" t="s">
        <v>1110</v>
      </c>
      <c r="K21" s="6279" t="s">
        <v>1111</v>
      </c>
      <c r="L21" s="6280" t="s">
        <v>1192</v>
      </c>
      <c r="M21" s="6281" t="s">
        <v>1193</v>
      </c>
      <c r="N21" s="6282" t="s">
        <v>1194</v>
      </c>
      <c r="P21" s="6283" t="s">
        <v>1226</v>
      </c>
      <c r="Q21" s="6284" t="s">
        <v>1227</v>
      </c>
      <c r="R21" s="6285" t="s">
        <v>1228</v>
      </c>
      <c r="S21" s="6286" t="s">
        <v>1229</v>
      </c>
      <c r="T21" s="6287" t="s">
        <v>1230</v>
      </c>
    </row>
    <row r="22" spans="1:20" x14ac:dyDescent="0.2">
      <c r="A22" s="296" t="s">
        <v>1008</v>
      </c>
      <c r="B22" s="4">
        <v>7.5840862440231609</v>
      </c>
      <c r="C22" s="4">
        <v>3.5821067181340869</v>
      </c>
      <c r="D22" s="4">
        <v>-4.0019795258891016</v>
      </c>
      <c r="E22" s="4030" t="str">
        <f>IF(       0.003&lt;0.01,"***",IF(       0.003&lt;0.05,"**",IF(       0.003&lt;0.1,"*","NS")))</f>
        <v>***</v>
      </c>
      <c r="G22" s="296" t="s">
        <v>1112</v>
      </c>
      <c r="H22" s="4">
        <v>7.5840862440231609</v>
      </c>
      <c r="I22" s="4">
        <v>4.239626840327464</v>
      </c>
      <c r="J22" s="4">
        <v>-3.3444594036956881</v>
      </c>
      <c r="K22" s="4031" t="str">
        <f>IF(       0.017&lt;0.01,"***",IF(       0.017&lt;0.05,"**",IF(       0.017&lt;0.1,"*","NS")))</f>
        <v>**</v>
      </c>
      <c r="L22" s="4">
        <v>1.319665912059333</v>
      </c>
      <c r="M22" s="4">
        <v>-6.2644203319638034</v>
      </c>
      <c r="N22" s="4032" t="str">
        <f>IF(       0&lt;0.01,"***",IF(       0&lt;0.05,"**",IF(       0&lt;0.1,"*","NS")))</f>
        <v>***</v>
      </c>
      <c r="P22" s="296" t="s">
        <v>1231</v>
      </c>
      <c r="Q22" s="4">
        <v>6.3263786791186183</v>
      </c>
      <c r="R22" s="4">
        <v>1.319665912059333</v>
      </c>
      <c r="S22" s="4">
        <v>-5.0067127670592724</v>
      </c>
      <c r="T22" s="4033" t="str">
        <f>IF(       0.001&lt;0.01,"***",IF(       0.001&lt;0.05,"**",IF(       0.001&lt;0.1,"*","NS")))</f>
        <v>***</v>
      </c>
    </row>
    <row r="23" spans="1:20" x14ac:dyDescent="0.2">
      <c r="A23" s="296" t="s">
        <v>1009</v>
      </c>
      <c r="B23" s="4">
        <v>8.9258661741938532</v>
      </c>
      <c r="C23" s="4">
        <v>3.4271348241003872</v>
      </c>
      <c r="D23" s="4">
        <v>-5.4987313500935375</v>
      </c>
      <c r="E23" s="4034" t="str">
        <f>IF(       0.002&lt;0.01,"***",IF(       0.002&lt;0.05,"**",IF(       0.002&lt;0.1,"*","NS")))</f>
        <v>***</v>
      </c>
      <c r="G23" s="296" t="s">
        <v>1113</v>
      </c>
      <c r="H23" s="4">
        <v>8.9258661741938532</v>
      </c>
      <c r="I23" s="4">
        <v>3.9016808289586562</v>
      </c>
      <c r="J23" s="4">
        <v>-5.0241853452351943</v>
      </c>
      <c r="K23" s="4035" t="str">
        <f>IF(       0.006&lt;0.01,"***",IF(       0.006&lt;0.05,"**",IF(       0.006&lt;0.1,"*","NS")))</f>
        <v>***</v>
      </c>
      <c r="L23" s="4">
        <v>2.2088145354693869</v>
      </c>
      <c r="M23" s="4">
        <v>-6.7170516387244712</v>
      </c>
      <c r="N23" s="4036" t="str">
        <f>IF(       0&lt;0.01,"***",IF(       0&lt;0.05,"**",IF(       0&lt;0.1,"*","NS")))</f>
        <v>***</v>
      </c>
      <c r="P23" s="296" t="s">
        <v>1232</v>
      </c>
      <c r="Q23" s="4">
        <v>7.2572926792391446</v>
      </c>
      <c r="R23" s="4">
        <v>2.2088145354693869</v>
      </c>
      <c r="S23" s="4">
        <v>-5.0484781437697972</v>
      </c>
      <c r="T23" s="4037" t="str">
        <f>IF(       0.001&lt;0.01,"***",IF(       0.001&lt;0.05,"**",IF(       0.001&lt;0.1,"*","NS")))</f>
        <v>***</v>
      </c>
    </row>
    <row r="24" spans="1:20" x14ac:dyDescent="0.2">
      <c r="A24" s="296" t="s">
        <v>1010</v>
      </c>
      <c r="B24" s="4">
        <v>5.1740437421625609</v>
      </c>
      <c r="C24" s="4">
        <v>3.9340133834847379</v>
      </c>
      <c r="D24" s="4">
        <v>-1.2400303586778323</v>
      </c>
      <c r="E24" s="4038" t="str">
        <f>IF(       0.303&lt;0.01,"***",IF(       0.303&lt;0.05,"**",IF(       0.303&lt;0.1,"*","NS")))</f>
        <v>NS</v>
      </c>
      <c r="G24" s="296" t="s">
        <v>1114</v>
      </c>
      <c r="H24" s="4">
        <v>5.1740437421625609</v>
      </c>
      <c r="I24" s="4">
        <v>4.0040361839613254</v>
      </c>
      <c r="J24" s="4">
        <v>-1.1700075582012404</v>
      </c>
      <c r="K24" s="4039" t="str">
        <f>IF(       0.297&lt;0.01,"***",IF(       0.297&lt;0.05,"**",IF(       0.297&lt;0.1,"*","NS")))</f>
        <v>NS</v>
      </c>
      <c r="L24" s="4">
        <v>3.7468365014949438</v>
      </c>
      <c r="M24" s="4">
        <v>-1.4272072406676284</v>
      </c>
      <c r="N24" s="4040" t="str">
        <f>IF(       0.596&lt;0.01,"***",IF(       0.596&lt;0.05,"**",IF(       0.596&lt;0.1,"*","NS")))</f>
        <v>NS</v>
      </c>
      <c r="P24" s="296" t="s">
        <v>1233</v>
      </c>
      <c r="Q24" s="4">
        <v>4.89750996752284</v>
      </c>
      <c r="R24" s="4">
        <v>3.7468365014949438</v>
      </c>
      <c r="S24" s="4">
        <v>-1.1506734660278968</v>
      </c>
      <c r="T24" s="4041" t="str">
        <f>IF(       0.664&lt;0.01,"***",IF(       0.664&lt;0.05,"**",IF(       0.664&lt;0.1,"*","NS")))</f>
        <v>NS</v>
      </c>
    </row>
    <row r="25" spans="1:20" x14ac:dyDescent="0.2">
      <c r="A25" s="296" t="s">
        <v>1011</v>
      </c>
      <c r="B25" s="4">
        <v>4.4913508879184043</v>
      </c>
      <c r="C25" s="4">
        <v>4.2809265297863943</v>
      </c>
      <c r="D25" s="4">
        <v>-0.21042435813202268</v>
      </c>
      <c r="E25" s="4042" t="str">
        <f>IF(       0.856&lt;0.01,"***",IF(       0.856&lt;0.05,"**",IF(       0.856&lt;0.1,"*","NS")))</f>
        <v>NS</v>
      </c>
      <c r="G25" s="296" t="s">
        <v>1115</v>
      </c>
      <c r="H25" s="4">
        <v>4.4913508879184043</v>
      </c>
      <c r="I25" s="4">
        <v>5.4949175538332122</v>
      </c>
      <c r="J25" s="4">
        <v>1.0035666659148028</v>
      </c>
      <c r="K25" s="4043" t="str">
        <f>IF(       0.485&lt;0.01,"***",IF(       0.485&lt;0.05,"**",IF(       0.485&lt;0.1,"*","NS")))</f>
        <v>NS</v>
      </c>
      <c r="L25" s="4">
        <v>0</v>
      </c>
      <c r="M25" s="4">
        <v>-4.4913508879183821</v>
      </c>
      <c r="N25" s="4044" t="str">
        <f>IF(       0&lt;0.01,"***",IF(       0&lt;0.05,"**",IF(       0&lt;0.1,"*","NS")))</f>
        <v>***</v>
      </c>
      <c r="P25" s="296" t="s">
        <v>1234</v>
      </c>
      <c r="Q25" s="4">
        <v>4.7969418498845018</v>
      </c>
      <c r="R25" s="4">
        <v>0</v>
      </c>
      <c r="S25" s="4">
        <v>-4.7969418498845169</v>
      </c>
      <c r="T25" s="4045" t="str">
        <f>IF(       0&lt;0.01,"***",IF(       0&lt;0.05,"**",IF(       0&lt;0.1,"*","NS")))</f>
        <v>***</v>
      </c>
    </row>
    <row r="26" spans="1:20" x14ac:dyDescent="0.2">
      <c r="A26" s="296" t="s">
        <v>1012</v>
      </c>
      <c r="B26" s="4">
        <v>5.4092083675326537</v>
      </c>
      <c r="C26" s="4">
        <v>3.0926251529928761</v>
      </c>
      <c r="D26" s="4">
        <v>-2.3165832145398073</v>
      </c>
      <c r="E26" s="4046" t="str">
        <f>IF(       0.015&lt;0.01,"***",IF(       0.015&lt;0.05,"**",IF(       0.015&lt;0.1,"*","NS")))</f>
        <v>**</v>
      </c>
      <c r="G26" s="296" t="s">
        <v>1116</v>
      </c>
      <c r="H26" s="4">
        <v>5.4092083675326537</v>
      </c>
      <c r="I26" s="4">
        <v>3.480994667727435</v>
      </c>
      <c r="J26" s="4">
        <v>-1.9282136998052464</v>
      </c>
      <c r="K26" s="4047" t="str">
        <f>IF(       0.047&lt;0.01,"***",IF(       0.047&lt;0.05,"**",IF(       0.047&lt;0.1,"*","NS")))</f>
        <v>**</v>
      </c>
      <c r="L26" s="4">
        <v>1.3518969517629631</v>
      </c>
      <c r="M26" s="4">
        <v>-4.0573114157697079</v>
      </c>
      <c r="N26" s="4048" t="str">
        <f>IF(       0.021&lt;0.01,"***",IF(       0.021&lt;0.05,"**",IF(       0.021&lt;0.1,"*","NS")))</f>
        <v>**</v>
      </c>
      <c r="P26" s="296" t="s">
        <v>1235</v>
      </c>
      <c r="Q26" s="4">
        <v>4.8917964120280999</v>
      </c>
      <c r="R26" s="4">
        <v>1.3518969517629631</v>
      </c>
      <c r="S26" s="4">
        <v>-3.5398994602651439</v>
      </c>
      <c r="T26" s="4049" t="str">
        <f>IF(       0.033&lt;0.01,"***",IF(       0.033&lt;0.05,"**",IF(       0.033&lt;0.1,"*","NS")))</f>
        <v>**</v>
      </c>
    </row>
    <row r="27" spans="1:20" x14ac:dyDescent="0.2">
      <c r="A27" s="296" t="s">
        <v>1013</v>
      </c>
      <c r="B27" s="4">
        <v>7.2533310733529861</v>
      </c>
      <c r="C27" s="4">
        <v>2.4886736720410632</v>
      </c>
      <c r="D27" s="4">
        <v>-4.7646574013118919</v>
      </c>
      <c r="E27" s="4050" t="str">
        <f>IF(       0&lt;0.01,"***",IF(       0&lt;0.05,"**",IF(       0&lt;0.1,"*","NS")))</f>
        <v>***</v>
      </c>
      <c r="G27" s="296" t="s">
        <v>1117</v>
      </c>
      <c r="H27" s="4">
        <v>7.2533310733529861</v>
      </c>
      <c r="I27" s="4">
        <v>2.895235568756001</v>
      </c>
      <c r="J27" s="4">
        <v>-4.3580955045969807</v>
      </c>
      <c r="K27" s="4051" t="str">
        <f>IF(       0.001&lt;0.01,"***",IF(       0.001&lt;0.05,"**",IF(       0.001&lt;0.1,"*","NS")))</f>
        <v>***</v>
      </c>
      <c r="L27" s="4">
        <v>1.306013545253885</v>
      </c>
      <c r="M27" s="4">
        <v>-5.9473175280991439</v>
      </c>
      <c r="N27" s="4052" t="str">
        <f>IF(       0&lt;0.01,"***",IF(       0&lt;0.05,"**",IF(       0&lt;0.1,"*","NS")))</f>
        <v>***</v>
      </c>
      <c r="P27" s="296" t="s">
        <v>1236</v>
      </c>
      <c r="Q27" s="4">
        <v>5.9896995768356751</v>
      </c>
      <c r="R27" s="4">
        <v>1.306013545253885</v>
      </c>
      <c r="S27" s="4">
        <v>-4.6836860315817725</v>
      </c>
      <c r="T27" s="4053" t="str">
        <f>IF(       0&lt;0.01,"***",IF(       0&lt;0.05,"**",IF(       0&lt;0.1,"*","NS")))</f>
        <v>***</v>
      </c>
    </row>
    <row r="28" spans="1:20" x14ac:dyDescent="0.2">
      <c r="A28" s="296" t="s">
        <v>1014</v>
      </c>
      <c r="B28" s="4">
        <v>30.663939269149559</v>
      </c>
      <c r="C28" s="4">
        <v>18.122255543430249</v>
      </c>
      <c r="D28" s="4">
        <v>-12.541683725719263</v>
      </c>
      <c r="E28" s="4054" t="str">
        <f>IF(       0&lt;0.01,"***",IF(       0&lt;0.05,"**",IF(       0&lt;0.1,"*","NS")))</f>
        <v>***</v>
      </c>
      <c r="G28" s="296" t="s">
        <v>1118</v>
      </c>
      <c r="H28" s="4">
        <v>30.663939269149559</v>
      </c>
      <c r="I28" s="4">
        <v>19.398787904750979</v>
      </c>
      <c r="J28" s="4">
        <v>-11.265151364398601</v>
      </c>
      <c r="K28" s="4055" t="str">
        <f>IF(       0.003&lt;0.01,"***",IF(       0.003&lt;0.05,"**",IF(       0.003&lt;0.1,"*","NS")))</f>
        <v>***</v>
      </c>
      <c r="L28" s="4">
        <v>12.5338547825385</v>
      </c>
      <c r="M28" s="4">
        <v>-18.130084486611107</v>
      </c>
      <c r="N28" s="4056" t="str">
        <f>IF(       0.003&lt;0.01,"***",IF(       0.003&lt;0.05,"**",IF(       0.003&lt;0.1,"*","NS")))</f>
        <v>***</v>
      </c>
      <c r="P28" s="296" t="s">
        <v>1237</v>
      </c>
      <c r="Q28" s="4">
        <v>28.878605440389869</v>
      </c>
      <c r="R28" s="4">
        <v>12.5338547825385</v>
      </c>
      <c r="S28" s="4">
        <v>-16.344750657851364</v>
      </c>
      <c r="T28" s="4057" t="str">
        <f>IF(       0.008&lt;0.01,"***",IF(       0.008&lt;0.05,"**",IF(       0.008&lt;0.1,"*","NS")))</f>
        <v>***</v>
      </c>
    </row>
    <row r="29" spans="1:20" x14ac:dyDescent="0.2">
      <c r="A29" s="296" t="s">
        <v>1015</v>
      </c>
      <c r="B29" s="4">
        <v>1.010928521998979</v>
      </c>
      <c r="C29" s="4">
        <v>1.348409737975246</v>
      </c>
      <c r="D29" s="4">
        <v>0.33748121597626507</v>
      </c>
      <c r="E29" s="4058" t="str">
        <f>IF(       0.704&lt;0.01,"***",IF(       0.704&lt;0.05,"**",IF(       0.704&lt;0.1,"*","NS")))</f>
        <v>NS</v>
      </c>
      <c r="G29" s="296" t="s">
        <v>1119</v>
      </c>
      <c r="H29" s="4">
        <v>1.010928521998979</v>
      </c>
      <c r="I29" s="4">
        <v>1.7344015485847899</v>
      </c>
      <c r="J29" s="4">
        <v>0.72347302658581381</v>
      </c>
      <c r="K29" s="4059" t="str">
        <f>IF(       0.528&lt;0.01,"***",IF(       0.528&lt;0.05,"**",IF(       0.528&lt;0.1,"*","NS")))</f>
        <v>NS</v>
      </c>
      <c r="L29" s="4">
        <v>0</v>
      </c>
      <c r="M29" s="4">
        <v>-1.010928521998979</v>
      </c>
      <c r="N29" s="4060" t="str">
        <f>IF(       0.025&lt;0.01,"***",IF(       0.025&lt;0.05,"**",IF(       0.025&lt;0.1,"*","NS")))</f>
        <v>**</v>
      </c>
      <c r="P29" s="296" t="s">
        <v>1238</v>
      </c>
      <c r="Q29" s="4">
        <v>1.160134962762071</v>
      </c>
      <c r="R29" s="4">
        <v>0</v>
      </c>
      <c r="S29" s="4">
        <v>-1.1601349627620661</v>
      </c>
      <c r="T29" s="4061" t="str">
        <f>IF(       0.02&lt;0.01,"***",IF(       0.02&lt;0.05,"**",IF(       0.02&lt;0.1,"*","NS")))</f>
        <v>**</v>
      </c>
    </row>
    <row r="30" spans="1:20" x14ac:dyDescent="0.2">
      <c r="A30" s="296" t="s">
        <v>1016</v>
      </c>
      <c r="B30" s="4">
        <v>10.57045223599444</v>
      </c>
      <c r="C30" s="4">
        <v>2.4393677820197408</v>
      </c>
      <c r="D30" s="4">
        <v>-8.1310844539746974</v>
      </c>
      <c r="E30" s="4062" t="str">
        <f>IF(       0&lt;0.01,"***",IF(       0&lt;0.05,"**",IF(       0&lt;0.1,"*","NS")))</f>
        <v>***</v>
      </c>
      <c r="G30" s="296" t="s">
        <v>1120</v>
      </c>
      <c r="H30" s="4">
        <v>10.57045223599444</v>
      </c>
      <c r="I30" s="4">
        <v>2.642033494088476</v>
      </c>
      <c r="J30" s="4">
        <v>-7.9284187419059906</v>
      </c>
      <c r="K30" s="4063" t="str">
        <f>IF(       0&lt;0.01,"***",IF(       0&lt;0.05,"**",IF(       0&lt;0.1,"*","NS")))</f>
        <v>***</v>
      </c>
      <c r="L30" s="4">
        <v>2.1379870720658358</v>
      </c>
      <c r="M30" s="4">
        <v>-8.4324651639286188</v>
      </c>
      <c r="N30" s="4064" t="str">
        <f>IF(       0&lt;0.01,"***",IF(       0&lt;0.05,"**",IF(       0&lt;0.1,"*","NS")))</f>
        <v>***</v>
      </c>
      <c r="P30" s="296" t="s">
        <v>1239</v>
      </c>
      <c r="Q30" s="4">
        <v>7.5774261660360791</v>
      </c>
      <c r="R30" s="4">
        <v>2.1379870720658358</v>
      </c>
      <c r="S30" s="4">
        <v>-5.4394390939702424</v>
      </c>
      <c r="T30" s="4065" t="str">
        <f>IF(       0&lt;0.01,"***",IF(       0&lt;0.05,"**",IF(       0&lt;0.1,"*","NS")))</f>
        <v>***</v>
      </c>
    </row>
    <row r="31" spans="1:20" x14ac:dyDescent="0.2">
      <c r="A31" s="296" t="s">
        <v>1017</v>
      </c>
      <c r="B31" s="4">
        <v>4.3524995825133557</v>
      </c>
      <c r="C31" s="4">
        <v>3.0475357505675462</v>
      </c>
      <c r="D31" s="4">
        <v>-1.3049638319458057</v>
      </c>
      <c r="E31" s="4066" t="str">
        <f>IF(       0.134&lt;0.01,"***",IF(       0.134&lt;0.05,"**",IF(       0.134&lt;0.1,"*","NS")))</f>
        <v>NS</v>
      </c>
      <c r="G31" s="296" t="s">
        <v>1121</v>
      </c>
      <c r="H31" s="4">
        <v>4.3524995825133557</v>
      </c>
      <c r="I31" s="4">
        <v>3.327437612531206</v>
      </c>
      <c r="J31" s="4">
        <v>-1.025061969982161</v>
      </c>
      <c r="K31" s="4067" t="str">
        <f>IF(       0.263&lt;0.01,"***",IF(       0.263&lt;0.05,"**",IF(       0.263&lt;0.1,"*","NS")))</f>
        <v>NS</v>
      </c>
      <c r="L31" s="4">
        <v>2.1331085421926961</v>
      </c>
      <c r="M31" s="4">
        <v>-2.2193910403206618</v>
      </c>
      <c r="N31" s="4068" t="str">
        <f>IF(       0.099&lt;0.01,"***",IF(       0.099&lt;0.05,"**",IF(       0.099&lt;0.1,"*","NS")))</f>
        <v>*</v>
      </c>
      <c r="P31" s="296" t="s">
        <v>1240</v>
      </c>
      <c r="Q31" s="4">
        <v>3.9355725827647081</v>
      </c>
      <c r="R31" s="4">
        <v>2.1331085421926961</v>
      </c>
      <c r="S31" s="4">
        <v>-1.8024640405720034</v>
      </c>
      <c r="T31" s="4069" t="str">
        <f>IF(       0.151&lt;0.01,"***",IF(       0.151&lt;0.05,"**",IF(       0.151&lt;0.1,"*","NS")))</f>
        <v>NS</v>
      </c>
    </row>
    <row r="32" spans="1:20" x14ac:dyDescent="0.2">
      <c r="A32" s="296" t="s">
        <v>1018</v>
      </c>
      <c r="B32" s="4">
        <v>12.981282719511549</v>
      </c>
      <c r="C32" s="4">
        <v>3.1301671524923478</v>
      </c>
      <c r="D32" s="4">
        <v>-9.8511155670192547</v>
      </c>
      <c r="E32" s="4070" t="str">
        <f>IF(       0&lt;0.01,"***",IF(       0&lt;0.05,"**",IF(       0&lt;0.1,"*","NS")))</f>
        <v>***</v>
      </c>
      <c r="G32" s="296" t="s">
        <v>1122</v>
      </c>
      <c r="H32" s="4">
        <v>12.981282719511549</v>
      </c>
      <c r="I32" s="4">
        <v>3.6704345363677708</v>
      </c>
      <c r="J32" s="4">
        <v>-9.310848183143877</v>
      </c>
      <c r="K32" s="4071" t="str">
        <f>IF(       0&lt;0.01,"***",IF(       0&lt;0.05,"**",IF(       0&lt;0.1,"*","NS")))</f>
        <v>***</v>
      </c>
      <c r="L32" s="4">
        <v>1.6964282962248121</v>
      </c>
      <c r="M32" s="4">
        <v>-11.284854423286786</v>
      </c>
      <c r="N32" s="4072" t="str">
        <f>IF(       0&lt;0.01,"***",IF(       0&lt;0.05,"**",IF(       0&lt;0.1,"*","NS")))</f>
        <v>***</v>
      </c>
      <c r="P32" s="296" t="s">
        <v>1241</v>
      </c>
      <c r="Q32" s="4">
        <v>10.52726953033241</v>
      </c>
      <c r="R32" s="4">
        <v>1.6964282962248121</v>
      </c>
      <c r="S32" s="4">
        <v>-8.8308412341076927</v>
      </c>
      <c r="T32" s="4073" t="str">
        <f>IF(       0&lt;0.01,"***",IF(       0&lt;0.05,"**",IF(       0&lt;0.1,"*","NS")))</f>
        <v>***</v>
      </c>
    </row>
    <row r="33" spans="1:20" x14ac:dyDescent="0.2">
      <c r="A33" s="296" t="s">
        <v>1019</v>
      </c>
      <c r="B33" s="4">
        <v>23.034872159242841</v>
      </c>
      <c r="C33" s="4">
        <v>10.179096086240421</v>
      </c>
      <c r="D33" s="4">
        <v>-12.855776073002454</v>
      </c>
      <c r="E33" s="4074" t="str">
        <f>IF(       0&lt;0.01,"***",IF(       0&lt;0.05,"**",IF(       0&lt;0.1,"*","NS")))</f>
        <v>***</v>
      </c>
      <c r="G33" s="296" t="s">
        <v>1123</v>
      </c>
      <c r="H33" s="4">
        <v>23.034872159242841</v>
      </c>
      <c r="I33" s="4">
        <v>12.35864293108459</v>
      </c>
      <c r="J33" s="4">
        <v>-10.676229228158313</v>
      </c>
      <c r="K33" s="4075" t="str">
        <f>IF(       0&lt;0.01,"***",IF(       0&lt;0.05,"**",IF(       0&lt;0.1,"*","NS")))</f>
        <v>***</v>
      </c>
      <c r="L33" s="4">
        <v>3.998723937926115</v>
      </c>
      <c r="M33" s="4">
        <v>-19.036148221316651</v>
      </c>
      <c r="N33" s="4076" t="str">
        <f>IF(       0&lt;0.01,"***",IF(       0&lt;0.05,"**",IF(       0&lt;0.1,"*","NS")))</f>
        <v>***</v>
      </c>
      <c r="P33" s="296" t="s">
        <v>1242</v>
      </c>
      <c r="Q33" s="4">
        <v>20.511888935448908</v>
      </c>
      <c r="R33" s="4">
        <v>3.998723937926115</v>
      </c>
      <c r="S33" s="4">
        <v>-16.513164997522612</v>
      </c>
      <c r="T33" s="4077" t="str">
        <f>IF(       0&lt;0.01,"***",IF(       0&lt;0.05,"**",IF(       0&lt;0.1,"*","NS")))</f>
        <v>***</v>
      </c>
    </row>
    <row r="34" spans="1:20" x14ac:dyDescent="0.2">
      <c r="A34" s="296" t="s">
        <v>1020</v>
      </c>
      <c r="B34" s="4">
        <v>8.0603413751938913</v>
      </c>
      <c r="C34" s="4">
        <v>3.7283287090398058</v>
      </c>
      <c r="D34" s="4">
        <v>-4.3320126661540526</v>
      </c>
      <c r="E34" s="4078" t="str">
        <f>IF(       0.003&lt;0.01,"***",IF(       0.003&lt;0.05,"**",IF(       0.003&lt;0.1,"*","NS")))</f>
        <v>***</v>
      </c>
      <c r="G34" s="296" t="s">
        <v>1124</v>
      </c>
      <c r="H34" s="4">
        <v>8.0603413751938913</v>
      </c>
      <c r="I34" s="4">
        <v>3.908953412521345</v>
      </c>
      <c r="J34" s="4">
        <v>-4.1513879626725094</v>
      </c>
      <c r="K34" s="4079" t="str">
        <f>IF(       0.002&lt;0.01,"***",IF(       0.002&lt;0.05,"**",IF(       0.002&lt;0.1,"*","NS")))</f>
        <v>***</v>
      </c>
      <c r="L34" s="4">
        <v>3.126709763399846</v>
      </c>
      <c r="M34" s="4">
        <v>-4.9336316117940262</v>
      </c>
      <c r="N34" s="4080" t="str">
        <f>IF(       0.113&lt;0.01,"***",IF(       0.113&lt;0.05,"**",IF(       0.113&lt;0.1,"*","NS")))</f>
        <v>NS</v>
      </c>
      <c r="P34" s="296" t="s">
        <v>1243</v>
      </c>
      <c r="Q34" s="4">
        <v>7.0270264923033077</v>
      </c>
      <c r="R34" s="4">
        <v>3.126709763399846</v>
      </c>
      <c r="S34" s="4">
        <v>-3.9003167289034719</v>
      </c>
      <c r="T34" s="4081" t="str">
        <f>IF(       0.195&lt;0.01,"***",IF(       0.195&lt;0.05,"**",IF(       0.195&lt;0.1,"*","NS")))</f>
        <v>NS</v>
      </c>
    </row>
    <row r="35" spans="1:20" x14ac:dyDescent="0.2">
      <c r="A35" s="296" t="s">
        <v>1021</v>
      </c>
      <c r="B35" s="4">
        <v>4.6489768259356419</v>
      </c>
      <c r="C35" s="4">
        <v>3.7102276487286021</v>
      </c>
      <c r="D35" s="4">
        <v>-0.93874917720703088</v>
      </c>
      <c r="E35" s="4082" t="str">
        <f>IF(       0.358&lt;0.01,"***",IF(       0.358&lt;0.05,"**",IF(       0.358&lt;0.1,"*","NS")))</f>
        <v>NS</v>
      </c>
      <c r="G35" s="296" t="s">
        <v>1125</v>
      </c>
      <c r="H35" s="4">
        <v>4.6489768259356419</v>
      </c>
      <c r="I35" s="4">
        <v>4.2545860566897753</v>
      </c>
      <c r="J35" s="4">
        <v>-0.39439076924585698</v>
      </c>
      <c r="K35" s="4083" t="str">
        <f>IF(       0.72&lt;0.01,"***",IF(       0.72&lt;0.05,"**",IF(       0.72&lt;0.1,"*","NS")))</f>
        <v>NS</v>
      </c>
      <c r="L35" s="4">
        <v>2.6097768160636532</v>
      </c>
      <c r="M35" s="4">
        <v>-2.0392000098719882</v>
      </c>
      <c r="N35" s="4084" t="str">
        <f>IF(       0.215&lt;0.01,"***",IF(       0.215&lt;0.05,"**",IF(       0.215&lt;0.1,"*","NS")))</f>
        <v>NS</v>
      </c>
      <c r="P35" s="296" t="s">
        <v>1244</v>
      </c>
      <c r="Q35" s="4">
        <v>4.5161674752695964</v>
      </c>
      <c r="R35" s="4">
        <v>2.6097768160636532</v>
      </c>
      <c r="S35" s="4">
        <v>-1.9063906592059434</v>
      </c>
      <c r="T35" s="4085" t="str">
        <f>IF(       0.228&lt;0.01,"***",IF(       0.228&lt;0.05,"**",IF(       0.228&lt;0.1,"*","NS")))</f>
        <v>NS</v>
      </c>
    </row>
    <row r="36" spans="1:20" x14ac:dyDescent="0.2">
      <c r="A36" s="296" t="s">
        <v>1022</v>
      </c>
      <c r="B36" s="4">
        <v>4.680527613183421</v>
      </c>
      <c r="C36" s="4">
        <v>1.627195253652572</v>
      </c>
      <c r="D36" s="4">
        <v>-3.0533323595308244</v>
      </c>
      <c r="E36" s="4086" t="str">
        <f>IF(       0.001&lt;0.01,"***",IF(       0.001&lt;0.05,"**",IF(       0.001&lt;0.1,"*","NS")))</f>
        <v>***</v>
      </c>
      <c r="G36" s="296" t="s">
        <v>1126</v>
      </c>
      <c r="H36" s="4">
        <v>4.680527613183421</v>
      </c>
      <c r="I36" s="4">
        <v>1.8557046203411069</v>
      </c>
      <c r="J36" s="4">
        <v>-2.8248229928423503</v>
      </c>
      <c r="K36" s="4087" t="str">
        <f>IF(       0.005&lt;0.01,"***",IF(       0.005&lt;0.05,"**",IF(       0.005&lt;0.1,"*","NS")))</f>
        <v>***</v>
      </c>
      <c r="L36" s="4">
        <v>0.81023810579103028</v>
      </c>
      <c r="M36" s="4">
        <v>-3.8702895073923882</v>
      </c>
      <c r="N36" s="4088" t="str">
        <f>IF(       0&lt;0.01,"***",IF(       0&lt;0.05,"**",IF(       0&lt;0.1,"*","NS")))</f>
        <v>***</v>
      </c>
      <c r="P36" s="296" t="s">
        <v>1245</v>
      </c>
      <c r="Q36" s="4">
        <v>3.9068500224739808</v>
      </c>
      <c r="R36" s="4">
        <v>0.81023810579103028</v>
      </c>
      <c r="S36" s="4">
        <v>-3.0966119166829387</v>
      </c>
      <c r="T36" s="4089" t="str">
        <f>IF(       0&lt;0.01,"***",IF(       0&lt;0.05,"**",IF(       0&lt;0.1,"*","NS")))</f>
        <v>***</v>
      </c>
    </row>
    <row r="37" spans="1:20" x14ac:dyDescent="0.2">
      <c r="A37" s="296" t="s">
        <v>5835</v>
      </c>
      <c r="B37" s="4">
        <v>10.78527389365045</v>
      </c>
      <c r="C37" s="4">
        <v>4.3033658176923728</v>
      </c>
      <c r="D37" s="4">
        <v>-6.4819080759580174</v>
      </c>
      <c r="E37" s="4090" t="str">
        <f>IF(       0&lt;0.01,"***",IF(       0&lt;0.05,"**",IF(       0&lt;0.1,"*","NS")))</f>
        <v>***</v>
      </c>
      <c r="G37" s="296" t="s">
        <v>5835</v>
      </c>
      <c r="H37" s="4">
        <v>10.78527389365045</v>
      </c>
      <c r="I37" s="4">
        <v>5.0131083330978532</v>
      </c>
      <c r="J37" s="4">
        <v>-5.7721655605527609</v>
      </c>
      <c r="K37" s="4091" t="str">
        <f>IF(       0&lt;0.01,"***",IF(       0&lt;0.05,"**",IF(       0&lt;0.1,"*","NS")))</f>
        <v>***</v>
      </c>
      <c r="L37" s="4">
        <v>2.3004875725521341</v>
      </c>
      <c r="M37" s="4">
        <v>-8.4847863210982286</v>
      </c>
      <c r="N37" s="4092" t="str">
        <f>IF(       0&lt;0.01,"***",IF(       0&lt;0.05,"**",IF(       0&lt;0.1,"*","NS")))</f>
        <v>***</v>
      </c>
      <c r="P37" s="296" t="s">
        <v>5835</v>
      </c>
      <c r="Q37" s="4">
        <v>9.141060297442591</v>
      </c>
      <c r="R37" s="4">
        <v>2.3004875725521341</v>
      </c>
      <c r="S37" s="4">
        <v>-6.8405727248906887</v>
      </c>
      <c r="T37" s="4093" t="str">
        <f>IF(       0&lt;0.01,"***",IF(       0&lt;0.05,"**",IF(       0&lt;0.1,"*","NS")))</f>
        <v>***</v>
      </c>
    </row>
    <row r="39" spans="1:20" x14ac:dyDescent="0.2">
      <c r="A39" s="296" t="s">
        <v>1023</v>
      </c>
      <c r="G39" s="296" t="s">
        <v>1127</v>
      </c>
      <c r="P39" s="296" t="s">
        <v>1246</v>
      </c>
    </row>
    <row r="40" spans="1:20" s="3" customFormat="1" x14ac:dyDescent="0.2">
      <c r="A40" s="6288" t="s">
        <v>1024</v>
      </c>
      <c r="B40" s="6289" t="s">
        <v>1025</v>
      </c>
      <c r="C40" s="6290" t="s">
        <v>1026</v>
      </c>
      <c r="D40" s="6291" t="s">
        <v>1027</v>
      </c>
      <c r="E40" s="6292" t="s">
        <v>1028</v>
      </c>
      <c r="G40" s="6293" t="s">
        <v>1128</v>
      </c>
      <c r="H40" s="6294" t="s">
        <v>1129</v>
      </c>
      <c r="I40" s="6295" t="s">
        <v>1130</v>
      </c>
      <c r="J40" s="6296" t="s">
        <v>1131</v>
      </c>
      <c r="K40" s="6297" t="s">
        <v>1132</v>
      </c>
      <c r="L40" s="6298" t="s">
        <v>1195</v>
      </c>
      <c r="M40" s="6299" t="s">
        <v>1196</v>
      </c>
      <c r="N40" s="6300" t="s">
        <v>1197</v>
      </c>
      <c r="P40" s="6301" t="s">
        <v>1247</v>
      </c>
      <c r="Q40" s="6302" t="s">
        <v>1248</v>
      </c>
      <c r="R40" s="6303" t="s">
        <v>1249</v>
      </c>
      <c r="S40" s="6304" t="s">
        <v>1250</v>
      </c>
      <c r="T40" s="6305" t="s">
        <v>1251</v>
      </c>
    </row>
    <row r="41" spans="1:20" x14ac:dyDescent="0.2">
      <c r="A41" s="296" t="s">
        <v>1029</v>
      </c>
      <c r="B41" s="4">
        <v>18.17746182530162</v>
      </c>
      <c r="C41" s="4">
        <v>11.04198713972511</v>
      </c>
      <c r="D41" s="4">
        <v>-7.1354746855765043</v>
      </c>
      <c r="E41" s="4094" t="str">
        <f>IF(       0&lt;0.01,"***",IF(       0&lt;0.05,"**",IF(       0&lt;0.1,"*","NS")))</f>
        <v>***</v>
      </c>
      <c r="G41" s="296" t="s">
        <v>1133</v>
      </c>
      <c r="H41" s="4">
        <v>18.17746182530162</v>
      </c>
      <c r="I41" s="4">
        <v>12.77657383418541</v>
      </c>
      <c r="J41" s="4">
        <v>-5.4008879911161829</v>
      </c>
      <c r="K41" s="4095" t="str">
        <f>IF(       0.006&lt;0.01,"***",IF(       0.006&lt;0.05,"**",IF(       0.006&lt;0.1,"*","NS")))</f>
        <v>***</v>
      </c>
      <c r="L41" s="4">
        <v>2.9497718303303779</v>
      </c>
      <c r="M41" s="4">
        <v>-15.227689994971302</v>
      </c>
      <c r="N41" s="4096" t="str">
        <f>IF(       0&lt;0.01,"***",IF(       0&lt;0.05,"**",IF(       0&lt;0.1,"*","NS")))</f>
        <v>***</v>
      </c>
      <c r="P41" s="296" t="s">
        <v>1252</v>
      </c>
      <c r="Q41" s="4">
        <v>16.34960431585646</v>
      </c>
      <c r="R41" s="4">
        <v>2.9497718303303779</v>
      </c>
      <c r="S41" s="4">
        <v>-13.399832485526142</v>
      </c>
      <c r="T41" s="4097" t="str">
        <f>IF(       0&lt;0.01,"***",IF(       0&lt;0.05,"**",IF(       0&lt;0.1,"*","NS")))</f>
        <v>***</v>
      </c>
    </row>
    <row r="42" spans="1:20" x14ac:dyDescent="0.2">
      <c r="A42" s="296" t="s">
        <v>1030</v>
      </c>
      <c r="B42" s="4">
        <v>12.77462763282845</v>
      </c>
      <c r="C42" s="4">
        <v>6.9279609695996598</v>
      </c>
      <c r="D42" s="4">
        <v>-5.8466666632287971</v>
      </c>
      <c r="E42" s="4098" t="str">
        <f>IF(       0&lt;0.01,"***",IF(       0&lt;0.05,"**",IF(       0&lt;0.1,"*","NS")))</f>
        <v>***</v>
      </c>
      <c r="G42" s="296" t="s">
        <v>1134</v>
      </c>
      <c r="H42" s="4">
        <v>12.77462763282845</v>
      </c>
      <c r="I42" s="4">
        <v>8.1985358722308987</v>
      </c>
      <c r="J42" s="4">
        <v>-4.5760917605975511</v>
      </c>
      <c r="K42" s="4099" t="str">
        <f>IF(       0.011&lt;0.01,"***",IF(       0.011&lt;0.05,"**",IF(       0.011&lt;0.1,"*","NS")))</f>
        <v>**</v>
      </c>
      <c r="L42" s="4">
        <v>3.4870745613793601</v>
      </c>
      <c r="M42" s="4">
        <v>-9.2875530714491603</v>
      </c>
      <c r="N42" s="4100" t="str">
        <f>IF(       0&lt;0.01,"***",IF(       0&lt;0.05,"**",IF(       0&lt;0.1,"*","NS")))</f>
        <v>***</v>
      </c>
      <c r="P42" s="296" t="s">
        <v>1253</v>
      </c>
      <c r="Q42" s="4">
        <v>11.669631928650039</v>
      </c>
      <c r="R42" s="4">
        <v>3.4870745613793601</v>
      </c>
      <c r="S42" s="4">
        <v>-8.1825573672706593</v>
      </c>
      <c r="T42" s="4101" t="str">
        <f>IF(       0&lt;0.01,"***",IF(       0&lt;0.05,"**",IF(       0&lt;0.1,"*","NS")))</f>
        <v>***</v>
      </c>
    </row>
    <row r="43" spans="1:20" x14ac:dyDescent="0.2">
      <c r="A43" s="296" t="s">
        <v>1031</v>
      </c>
      <c r="B43" s="4">
        <v>10.601721032448021</v>
      </c>
      <c r="C43" s="4">
        <v>5.6258769495759458</v>
      </c>
      <c r="D43" s="4">
        <v>-4.97584408287209</v>
      </c>
      <c r="E43" s="4102" t="str">
        <f>IF(       0.015&lt;0.01,"***",IF(       0.015&lt;0.05,"**",IF(       0.015&lt;0.1,"*","NS")))</f>
        <v>**</v>
      </c>
      <c r="G43" s="296" t="s">
        <v>1135</v>
      </c>
      <c r="H43" s="4">
        <v>10.601721032448021</v>
      </c>
      <c r="I43" s="4">
        <v>6.2213332462690536</v>
      </c>
      <c r="J43" s="4">
        <v>-4.3803877861789289</v>
      </c>
      <c r="K43" s="4103" t="str">
        <f>IF(       0.027&lt;0.01,"***",IF(       0.027&lt;0.05,"**",IF(       0.027&lt;0.1,"*","NS")))</f>
        <v>**</v>
      </c>
      <c r="L43" s="4">
        <v>3.5777698640094191</v>
      </c>
      <c r="M43" s="4">
        <v>-7.0239511684385638</v>
      </c>
      <c r="N43" s="4104" t="str">
        <f>IF(       0.023&lt;0.01,"***",IF(       0.023&lt;0.05,"**",IF(       0.023&lt;0.1,"*","NS")))</f>
        <v>**</v>
      </c>
      <c r="P43" s="296" t="s">
        <v>1254</v>
      </c>
      <c r="Q43" s="4">
        <v>9.5688124969482793</v>
      </c>
      <c r="R43" s="4">
        <v>3.5777698640094191</v>
      </c>
      <c r="S43" s="4">
        <v>-5.9910426329389095</v>
      </c>
      <c r="T43" s="4105" t="str">
        <f>IF(       0.035&lt;0.01,"***",IF(       0.035&lt;0.05,"**",IF(       0.035&lt;0.1,"*","NS")))</f>
        <v>**</v>
      </c>
    </row>
    <row r="44" spans="1:20" x14ac:dyDescent="0.2">
      <c r="A44" s="296" t="s">
        <v>1032</v>
      </c>
      <c r="B44" s="4">
        <v>8.3000843833985023</v>
      </c>
      <c r="C44" s="4">
        <v>6.802104800732975</v>
      </c>
      <c r="D44" s="4">
        <v>-1.497979582665514</v>
      </c>
      <c r="E44" s="4106" t="str">
        <f>IF(       0.268&lt;0.01,"***",IF(       0.268&lt;0.05,"**",IF(       0.268&lt;0.1,"*","NS")))</f>
        <v>NS</v>
      </c>
      <c r="G44" s="296" t="s">
        <v>1136</v>
      </c>
      <c r="H44" s="4">
        <v>8.3000843833985023</v>
      </c>
      <c r="I44" s="4">
        <v>7.0398279355685123</v>
      </c>
      <c r="J44" s="4">
        <v>-1.2602564478299945</v>
      </c>
      <c r="K44" s="4107" t="str">
        <f>IF(       0.385&lt;0.01,"***",IF(       0.385&lt;0.05,"**",IF(       0.385&lt;0.1,"*","NS")))</f>
        <v>NS</v>
      </c>
      <c r="L44" s="4">
        <v>5.8115516512157113</v>
      </c>
      <c r="M44" s="4">
        <v>-2.4885327321827759</v>
      </c>
      <c r="N44" s="4108" t="str">
        <f>IF(       0.257&lt;0.01,"***",IF(       0.257&lt;0.05,"**",IF(       0.257&lt;0.1,"*","NS")))</f>
        <v>NS</v>
      </c>
      <c r="P44" s="296" t="s">
        <v>1255</v>
      </c>
      <c r="Q44" s="4">
        <v>7.9489840412246977</v>
      </c>
      <c r="R44" s="4">
        <v>5.8115516512157113</v>
      </c>
      <c r="S44" s="4">
        <v>-2.1374323900089829</v>
      </c>
      <c r="T44" s="4109" t="str">
        <f>IF(       0.311&lt;0.01,"***",IF(       0.311&lt;0.05,"**",IF(       0.311&lt;0.1,"*","NS")))</f>
        <v>NS</v>
      </c>
    </row>
    <row r="45" spans="1:20" x14ac:dyDescent="0.2">
      <c r="A45" s="296" t="s">
        <v>1033</v>
      </c>
      <c r="B45" s="4">
        <v>9.006598439425149</v>
      </c>
      <c r="C45" s="4">
        <v>5.8660380404975196</v>
      </c>
      <c r="D45" s="4">
        <v>-3.1405603989276356</v>
      </c>
      <c r="E45" s="4110" t="str">
        <f>IF(       0.034&lt;0.01,"***",IF(       0.034&lt;0.05,"**",IF(       0.034&lt;0.1,"*","NS")))</f>
        <v>**</v>
      </c>
      <c r="G45" s="296" t="s">
        <v>1137</v>
      </c>
      <c r="H45" s="4">
        <v>9.006598439425149</v>
      </c>
      <c r="I45" s="4">
        <v>6.4434261453244686</v>
      </c>
      <c r="J45" s="4">
        <v>-2.5631722941006725</v>
      </c>
      <c r="K45" s="4111" t="str">
        <f>IF(       0.067&lt;0.01,"***",IF(       0.067&lt;0.05,"**",IF(       0.067&lt;0.1,"*","NS")))</f>
        <v>*</v>
      </c>
      <c r="L45" s="4">
        <v>2.8557139904382489</v>
      </c>
      <c r="M45" s="4">
        <v>-6.1508844489869148</v>
      </c>
      <c r="N45" s="4112" t="str">
        <f>IF(       0.101&lt;0.01,"***",IF(       0.101&lt;0.05,"**",IF(       0.101&lt;0.1,"*","NS")))</f>
        <v>NS</v>
      </c>
      <c r="P45" s="296" t="s">
        <v>1256</v>
      </c>
      <c r="Q45" s="4">
        <v>8.3349230235286527</v>
      </c>
      <c r="R45" s="4">
        <v>2.8557139904382489</v>
      </c>
      <c r="S45" s="4">
        <v>-5.4792090330904024</v>
      </c>
      <c r="T45" s="4113" t="str">
        <f>IF(       0.132&lt;0.01,"***",IF(       0.132&lt;0.05,"**",IF(       0.132&lt;0.1,"*","NS")))</f>
        <v>NS</v>
      </c>
    </row>
    <row r="46" spans="1:20" x14ac:dyDescent="0.2">
      <c r="A46" s="296" t="s">
        <v>1034</v>
      </c>
      <c r="B46" s="4">
        <v>11.903882635631289</v>
      </c>
      <c r="C46" s="4">
        <v>6.4317375907664092</v>
      </c>
      <c r="D46" s="4">
        <v>-5.4721450448648454</v>
      </c>
      <c r="E46" s="4114" t="str">
        <f>IF(       0.013&lt;0.01,"***",IF(       0.013&lt;0.05,"**",IF(       0.013&lt;0.1,"*","NS")))</f>
        <v>**</v>
      </c>
      <c r="G46" s="296" t="s">
        <v>1138</v>
      </c>
      <c r="H46" s="4">
        <v>11.903882635631289</v>
      </c>
      <c r="I46" s="4">
        <v>7.7213678440758384</v>
      </c>
      <c r="J46" s="4">
        <v>-4.182514791555433</v>
      </c>
      <c r="K46" s="4115" t="str">
        <f>IF(       0.098&lt;0.01,"***",IF(       0.098&lt;0.05,"**",IF(       0.098&lt;0.1,"*","NS")))</f>
        <v>*</v>
      </c>
      <c r="L46" s="4">
        <v>1.9520190090288949</v>
      </c>
      <c r="M46" s="4">
        <v>-9.9518636266024227</v>
      </c>
      <c r="N46" s="4116" t="str">
        <f>IF(       0&lt;0.01,"***",IF(       0&lt;0.05,"**",IF(       0&lt;0.1,"*","NS")))</f>
        <v>***</v>
      </c>
      <c r="P46" s="296" t="s">
        <v>1257</v>
      </c>
      <c r="Q46" s="4">
        <v>10.766630215007931</v>
      </c>
      <c r="R46" s="4">
        <v>1.9520190090288949</v>
      </c>
      <c r="S46" s="4">
        <v>-8.814611205979169</v>
      </c>
      <c r="T46" s="4117" t="str">
        <f>IF(       0&lt;0.01,"***",IF(       0&lt;0.05,"**",IF(       0&lt;0.1,"*","NS")))</f>
        <v>***</v>
      </c>
    </row>
    <row r="47" spans="1:20" x14ac:dyDescent="0.2">
      <c r="A47" s="296" t="s">
        <v>1035</v>
      </c>
      <c r="B47" s="4" t="s">
        <v>6067</v>
      </c>
      <c r="C47" s="4" t="s">
        <v>6067</v>
      </c>
      <c r="D47" s="4" t="s">
        <v>6067</v>
      </c>
      <c r="E47" s="4" t="s">
        <v>6067</v>
      </c>
      <c r="G47" s="296" t="s">
        <v>1139</v>
      </c>
      <c r="H47" s="4" t="s">
        <v>6067</v>
      </c>
      <c r="I47" s="4" t="s">
        <v>6067</v>
      </c>
      <c r="J47" s="4" t="s">
        <v>6067</v>
      </c>
      <c r="K47" s="4" t="s">
        <v>6067</v>
      </c>
      <c r="L47" s="4" t="s">
        <v>6067</v>
      </c>
      <c r="M47" s="4" t="s">
        <v>6067</v>
      </c>
      <c r="N47" s="4" t="s">
        <v>6067</v>
      </c>
      <c r="P47" s="296" t="s">
        <v>1258</v>
      </c>
      <c r="Q47" s="4" t="s">
        <v>6067</v>
      </c>
      <c r="R47" s="4" t="s">
        <v>6067</v>
      </c>
      <c r="S47" s="4" t="s">
        <v>6067</v>
      </c>
      <c r="T47" s="4" t="s">
        <v>6067</v>
      </c>
    </row>
    <row r="48" spans="1:20" x14ac:dyDescent="0.2">
      <c r="A48" s="296" t="s">
        <v>1036</v>
      </c>
      <c r="B48" s="4">
        <v>4.7125144868329576</v>
      </c>
      <c r="C48" s="4">
        <v>5.2640489952795786</v>
      </c>
      <c r="D48" s="4">
        <v>0.55153450844662288</v>
      </c>
      <c r="E48" s="4118" t="str">
        <f>IF(       0.71&lt;0.01,"***",IF(       0.71&lt;0.05,"**",IF(       0.71&lt;0.1,"*","NS")))</f>
        <v>NS</v>
      </c>
      <c r="G48" s="296" t="s">
        <v>1140</v>
      </c>
      <c r="H48" s="4">
        <v>4.7125144868329576</v>
      </c>
      <c r="I48" s="4">
        <v>5.3562241819181784</v>
      </c>
      <c r="J48" s="4">
        <v>0.64370969508522358</v>
      </c>
      <c r="K48" s="4119" t="str">
        <f>IF(       0.704&lt;0.01,"***",IF(       0.704&lt;0.05,"**",IF(       0.704&lt;0.1,"*","NS")))</f>
        <v>NS</v>
      </c>
      <c r="L48" s="4">
        <v>4.989884653629284</v>
      </c>
      <c r="M48" s="4">
        <v>0.27737016679632354</v>
      </c>
      <c r="N48" s="4120" t="str">
        <f>IF(       0.886&lt;0.01,"***",IF(       0.886&lt;0.05,"**",IF(       0.886&lt;0.1,"*","NS")))</f>
        <v>NS</v>
      </c>
      <c r="P48" s="296" t="s">
        <v>1259</v>
      </c>
      <c r="Q48" s="4">
        <v>4.8154207568263869</v>
      </c>
      <c r="R48" s="4">
        <v>4.989884653629284</v>
      </c>
      <c r="S48" s="4">
        <v>0.17446389680290048</v>
      </c>
      <c r="T48" s="4121" t="str">
        <f>IF(       0.926&lt;0.01,"***",IF(       0.926&lt;0.05,"**",IF(       0.926&lt;0.1,"*","NS")))</f>
        <v>NS</v>
      </c>
    </row>
    <row r="49" spans="1:20" x14ac:dyDescent="0.2">
      <c r="A49" s="296" t="s">
        <v>1037</v>
      </c>
      <c r="B49" s="4">
        <v>16.580473986626199</v>
      </c>
      <c r="C49" s="4">
        <v>9.0218597442960728</v>
      </c>
      <c r="D49" s="4">
        <v>-7.558614242330159</v>
      </c>
      <c r="E49" s="4122" t="str">
        <f>IF(       0.001&lt;0.01,"***",IF(       0.001&lt;0.05,"**",IF(       0.001&lt;0.1,"*","NS")))</f>
        <v>***</v>
      </c>
      <c r="G49" s="296" t="s">
        <v>1141</v>
      </c>
      <c r="H49" s="4">
        <v>16.580473986626199</v>
      </c>
      <c r="I49" s="4">
        <v>12.24583424076234</v>
      </c>
      <c r="J49" s="4">
        <v>-4.3346397458638757</v>
      </c>
      <c r="K49" s="4123" t="str">
        <f>IF(       0.122&lt;0.01,"***",IF(       0.122&lt;0.05,"**",IF(       0.122&lt;0.1,"*","NS")))</f>
        <v>NS</v>
      </c>
      <c r="L49" s="4">
        <v>3.1957824584166068</v>
      </c>
      <c r="M49" s="4">
        <v>-13.384691528209515</v>
      </c>
      <c r="N49" s="4124" t="str">
        <f>IF(       0&lt;0.01,"***",IF(       0&lt;0.05,"**",IF(       0&lt;0.1,"*","NS")))</f>
        <v>***</v>
      </c>
      <c r="P49" s="296" t="s">
        <v>1260</v>
      </c>
      <c r="Q49" s="4">
        <v>15.303346545205899</v>
      </c>
      <c r="R49" s="4">
        <v>3.1957824584166068</v>
      </c>
      <c r="S49" s="4">
        <v>-12.107564086789385</v>
      </c>
      <c r="T49" s="4125" t="str">
        <f>IF(       0&lt;0.01,"***",IF(       0&lt;0.05,"**",IF(       0&lt;0.1,"*","NS")))</f>
        <v>***</v>
      </c>
    </row>
    <row r="50" spans="1:20" x14ac:dyDescent="0.2">
      <c r="A50" s="296" t="s">
        <v>1038</v>
      </c>
      <c r="B50" s="4">
        <v>14.599897724978289</v>
      </c>
      <c r="C50" s="4">
        <v>7.3942860646272317</v>
      </c>
      <c r="D50" s="4">
        <v>-7.2056116603510869</v>
      </c>
      <c r="E50" s="4126" t="str">
        <f>IF(       0.001&lt;0.01,"***",IF(       0.001&lt;0.05,"**",IF(       0.001&lt;0.1,"*","NS")))</f>
        <v>***</v>
      </c>
      <c r="G50" s="296" t="s">
        <v>1142</v>
      </c>
      <c r="H50" s="4">
        <v>14.599897724978289</v>
      </c>
      <c r="I50" s="4">
        <v>8.5329518200962191</v>
      </c>
      <c r="J50" s="4">
        <v>-6.0669459048820524</v>
      </c>
      <c r="K50" s="4127" t="str">
        <f>IF(       0.006&lt;0.01,"***",IF(       0.006&lt;0.05,"**",IF(       0.006&lt;0.1,"*","NS")))</f>
        <v>***</v>
      </c>
      <c r="L50" s="4">
        <v>3.685318922976542</v>
      </c>
      <c r="M50" s="4">
        <v>-10.914578802001778</v>
      </c>
      <c r="N50" s="4128" t="str">
        <f>IF(       0&lt;0.01,"***",IF(       0&lt;0.05,"**",IF(       0&lt;0.1,"*","NS")))</f>
        <v>***</v>
      </c>
      <c r="P50" s="296" t="s">
        <v>1261</v>
      </c>
      <c r="Q50" s="4">
        <v>12.383707475207411</v>
      </c>
      <c r="R50" s="4">
        <v>3.685318922976542</v>
      </c>
      <c r="S50" s="4">
        <v>-8.6983885522308473</v>
      </c>
      <c r="T50" s="4129" t="str">
        <f>IF(       0&lt;0.01,"***",IF(       0&lt;0.05,"**",IF(       0&lt;0.1,"*","NS")))</f>
        <v>***</v>
      </c>
    </row>
    <row r="51" spans="1:20" x14ac:dyDescent="0.2">
      <c r="A51" s="296" t="s">
        <v>1039</v>
      </c>
      <c r="B51" s="4">
        <v>14.246090589118751</v>
      </c>
      <c r="C51" s="4">
        <v>6.1881423324717844</v>
      </c>
      <c r="D51" s="4">
        <v>-8.0579482566470269</v>
      </c>
      <c r="E51" s="4130" t="str">
        <f>IF(       0.002&lt;0.01,"***",IF(       0.002&lt;0.05,"**",IF(       0.002&lt;0.1,"*","NS")))</f>
        <v>***</v>
      </c>
      <c r="G51" s="296" t="s">
        <v>1143</v>
      </c>
      <c r="H51" s="4">
        <v>14.246090589118751</v>
      </c>
      <c r="I51" s="4">
        <v>6.6087679371507129</v>
      </c>
      <c r="J51" s="4">
        <v>-7.6373226519680975</v>
      </c>
      <c r="K51" s="4131" t="str">
        <f>IF(       0.005&lt;0.01,"***",IF(       0.005&lt;0.05,"**",IF(       0.005&lt;0.1,"*","NS")))</f>
        <v>***</v>
      </c>
      <c r="L51" s="4">
        <v>4.9290311878497306</v>
      </c>
      <c r="M51" s="4">
        <v>-9.3170594012690415</v>
      </c>
      <c r="N51" s="4132" t="str">
        <f>IF(       0.001&lt;0.01,"***",IF(       0.001&lt;0.05,"**",IF(       0.001&lt;0.1,"*","NS")))</f>
        <v>***</v>
      </c>
      <c r="P51" s="296" t="s">
        <v>1262</v>
      </c>
      <c r="Q51" s="4">
        <v>12.59855789012561</v>
      </c>
      <c r="R51" s="4">
        <v>4.9290311878497306</v>
      </c>
      <c r="S51" s="4">
        <v>-7.6695267022758857</v>
      </c>
      <c r="T51" s="4133" t="str">
        <f>IF(       0.001&lt;0.01,"***",IF(       0.001&lt;0.05,"**",IF(       0.001&lt;0.1,"*","NS")))</f>
        <v>***</v>
      </c>
    </row>
    <row r="52" spans="1:20" x14ac:dyDescent="0.2">
      <c r="A52" s="296" t="s">
        <v>1040</v>
      </c>
      <c r="B52" s="4">
        <v>27.61697664206493</v>
      </c>
      <c r="C52" s="4">
        <v>17.579427392471661</v>
      </c>
      <c r="D52" s="4">
        <v>-10.037549249593228</v>
      </c>
      <c r="E52" s="4134" t="str">
        <f>IF(       0.001&lt;0.01,"***",IF(       0.001&lt;0.05,"**",IF(       0.001&lt;0.1,"*","NS")))</f>
        <v>***</v>
      </c>
      <c r="G52" s="296" t="s">
        <v>1144</v>
      </c>
      <c r="H52" s="4">
        <v>27.61697664206493</v>
      </c>
      <c r="I52" s="4">
        <v>18.611477553087472</v>
      </c>
      <c r="J52" s="4">
        <v>-9.0054990889775119</v>
      </c>
      <c r="K52" s="4135" t="str">
        <f>IF(       0.005&lt;0.01,"***",IF(       0.005&lt;0.05,"**",IF(       0.005&lt;0.1,"*","NS")))</f>
        <v>***</v>
      </c>
      <c r="L52" s="4">
        <v>14.287540710085301</v>
      </c>
      <c r="M52" s="4">
        <v>-13.329435931979523</v>
      </c>
      <c r="N52" s="4136" t="str">
        <f>IF(       0.005&lt;0.01,"***",IF(       0.005&lt;0.05,"**",IF(       0.005&lt;0.1,"*","NS")))</f>
        <v>***</v>
      </c>
      <c r="P52" s="296" t="s">
        <v>1263</v>
      </c>
      <c r="Q52" s="4">
        <v>25.824005198935371</v>
      </c>
      <c r="R52" s="4">
        <v>14.287540710085301</v>
      </c>
      <c r="S52" s="4">
        <v>-11.536464488850115</v>
      </c>
      <c r="T52" s="4137" t="str">
        <f>IF(       0.014&lt;0.01,"***",IF(       0.014&lt;0.05,"**",IF(       0.014&lt;0.1,"*","NS")))</f>
        <v>**</v>
      </c>
    </row>
    <row r="53" spans="1:20" x14ac:dyDescent="0.2">
      <c r="A53" s="296" t="s">
        <v>1041</v>
      </c>
      <c r="B53" s="4">
        <v>15.592561166704961</v>
      </c>
      <c r="C53" s="4">
        <v>9.6196287829220282</v>
      </c>
      <c r="D53" s="4">
        <v>-5.9729323837829416</v>
      </c>
      <c r="E53" s="4138" t="str">
        <f>IF(       0.005&lt;0.01,"***",IF(       0.005&lt;0.05,"**",IF(       0.005&lt;0.1,"*","NS")))</f>
        <v>***</v>
      </c>
      <c r="G53" s="296" t="s">
        <v>1145</v>
      </c>
      <c r="H53" s="4">
        <v>15.592561166704961</v>
      </c>
      <c r="I53" s="4">
        <v>10.726519886426161</v>
      </c>
      <c r="J53" s="4">
        <v>-4.8660412802787656</v>
      </c>
      <c r="K53" s="4139" t="str">
        <f>IF(       0.02&lt;0.01,"***",IF(       0.02&lt;0.05,"**",IF(       0.02&lt;0.1,"*","NS")))</f>
        <v>**</v>
      </c>
      <c r="L53" s="4">
        <v>6.5042467174640457</v>
      </c>
      <c r="M53" s="4">
        <v>-9.0883144492409045</v>
      </c>
      <c r="N53" s="4140" t="str">
        <f>IF(       0.019&lt;0.01,"***",IF(       0.019&lt;0.05,"**",IF(       0.019&lt;0.1,"*","NS")))</f>
        <v>**</v>
      </c>
      <c r="P53" s="296" t="s">
        <v>1264</v>
      </c>
      <c r="Q53" s="4">
        <v>14.64070832879988</v>
      </c>
      <c r="R53" s="4">
        <v>6.5042467174640457</v>
      </c>
      <c r="S53" s="4">
        <v>-8.1364616113358252</v>
      </c>
      <c r="T53" s="4141" t="str">
        <f>IF(       0.03&lt;0.01,"***",IF(       0.03&lt;0.05,"**",IF(       0.03&lt;0.1,"*","NS")))</f>
        <v>**</v>
      </c>
    </row>
    <row r="54" spans="1:20" x14ac:dyDescent="0.2">
      <c r="A54" s="296" t="s">
        <v>1042</v>
      </c>
      <c r="B54" s="4">
        <v>7.5038555980441917</v>
      </c>
      <c r="C54" s="4">
        <v>5.2558039446040654</v>
      </c>
      <c r="D54" s="4">
        <v>-2.2480516534401072</v>
      </c>
      <c r="E54" s="4142" t="str">
        <f>IF(       0.086&lt;0.01,"***",IF(       0.086&lt;0.05,"**",IF(       0.086&lt;0.1,"*","NS")))</f>
        <v>*</v>
      </c>
      <c r="G54" s="296" t="s">
        <v>1146</v>
      </c>
      <c r="H54" s="4">
        <v>7.5038555980441917</v>
      </c>
      <c r="I54" s="4">
        <v>4.9771440549916059</v>
      </c>
      <c r="J54" s="4">
        <v>-2.5267115430525569</v>
      </c>
      <c r="K54" s="4143" t="str">
        <f>IF(       0.059&lt;0.01,"***",IF(       0.059&lt;0.05,"**",IF(       0.059&lt;0.1,"*","NS")))</f>
        <v>*</v>
      </c>
      <c r="L54" s="4">
        <v>5.9521282063279051</v>
      </c>
      <c r="M54" s="4">
        <v>-1.5517273917162886</v>
      </c>
      <c r="N54" s="4144" t="str">
        <f>IF(       0.467&lt;0.01,"***",IF(       0.467&lt;0.05,"**",IF(       0.467&lt;0.1,"*","NS")))</f>
        <v>NS</v>
      </c>
      <c r="P54" s="296" t="s">
        <v>1265</v>
      </c>
      <c r="Q54" s="4">
        <v>6.6898830778919498</v>
      </c>
      <c r="R54" s="4">
        <v>5.9521282063279051</v>
      </c>
      <c r="S54" s="4">
        <v>-0.73775487156404296</v>
      </c>
      <c r="T54" s="4145" t="str">
        <f>IF(       0.715&lt;0.01,"***",IF(       0.715&lt;0.05,"**",IF(       0.715&lt;0.1,"*","NS")))</f>
        <v>NS</v>
      </c>
    </row>
    <row r="55" spans="1:20" x14ac:dyDescent="0.2">
      <c r="A55" s="296" t="s">
        <v>1043</v>
      </c>
      <c r="B55" s="4">
        <v>12.08026099553361</v>
      </c>
      <c r="C55" s="4">
        <v>9.8121601542901615</v>
      </c>
      <c r="D55" s="4">
        <v>-2.2681008412434438</v>
      </c>
      <c r="E55" s="4146" t="str">
        <f>IF(       0.259&lt;0.01,"***",IF(       0.259&lt;0.05,"**",IF(       0.259&lt;0.1,"*","NS")))</f>
        <v>NS</v>
      </c>
      <c r="G55" s="296" t="s">
        <v>1147</v>
      </c>
      <c r="H55" s="4">
        <v>12.08026099553361</v>
      </c>
      <c r="I55" s="4">
        <v>8.1171053702720073</v>
      </c>
      <c r="J55" s="4">
        <v>-3.9631556252616083</v>
      </c>
      <c r="K55" s="4147" t="str">
        <f>IF(       0.043&lt;0.01,"***",IF(       0.043&lt;0.05,"**",IF(       0.043&lt;0.1,"*","NS")))</f>
        <v>**</v>
      </c>
      <c r="L55" s="4">
        <v>14.43304040738122</v>
      </c>
      <c r="M55" s="4">
        <v>2.3527794118476408</v>
      </c>
      <c r="N55" s="4148" t="str">
        <f>IF(       0.57&lt;0.01,"***",IF(       0.57&lt;0.05,"**",IF(       0.57&lt;0.1,"*","NS")))</f>
        <v>NS</v>
      </c>
      <c r="P55" s="296" t="s">
        <v>1266</v>
      </c>
      <c r="Q55" s="4">
        <v>11.120556903996141</v>
      </c>
      <c r="R55" s="4">
        <v>14.43304040738122</v>
      </c>
      <c r="S55" s="4">
        <v>3.3124835033850677</v>
      </c>
      <c r="T55" s="4149" t="str">
        <f>IF(       0.413&lt;0.01,"***",IF(       0.413&lt;0.05,"**",IF(       0.413&lt;0.1,"*","NS")))</f>
        <v>NS</v>
      </c>
    </row>
    <row r="56" spans="1:20" x14ac:dyDescent="0.2">
      <c r="A56" s="296" t="s">
        <v>5835</v>
      </c>
      <c r="B56" s="4">
        <v>15.741661254075799</v>
      </c>
      <c r="C56" s="4">
        <v>9.048275150812259</v>
      </c>
      <c r="D56" s="4">
        <v>-6.6933861032636379</v>
      </c>
      <c r="E56" s="4150" t="str">
        <f>IF(       0&lt;0.01,"***",IF(       0&lt;0.05,"**",IF(       0&lt;0.1,"*","NS")))</f>
        <v>***</v>
      </c>
      <c r="G56" s="296" t="s">
        <v>5835</v>
      </c>
      <c r="H56" s="4">
        <v>15.741661254075799</v>
      </c>
      <c r="I56" s="4">
        <v>9.8640270742901794</v>
      </c>
      <c r="J56" s="4">
        <v>-5.8776341797856251</v>
      </c>
      <c r="K56" s="4151" t="str">
        <f>IF(       0&lt;0.01,"***",IF(       0&lt;0.05,"**",IF(       0&lt;0.1,"*","NS")))</f>
        <v>***</v>
      </c>
      <c r="L56" s="4">
        <v>6.4729834118726144</v>
      </c>
      <c r="M56" s="4">
        <v>-9.2686778422031928</v>
      </c>
      <c r="N56" s="4152" t="str">
        <f>IF(       0&lt;0.01,"***",IF(       0&lt;0.05,"**",IF(       0&lt;0.1,"*","NS")))</f>
        <v>***</v>
      </c>
      <c r="P56" s="296" t="s">
        <v>5835</v>
      </c>
      <c r="Q56" s="4">
        <v>14.276240230369719</v>
      </c>
      <c r="R56" s="4">
        <v>6.4729834118726144</v>
      </c>
      <c r="S56" s="4">
        <v>-7.8032568184970179</v>
      </c>
      <c r="T56" s="4153" t="str">
        <f>IF(       0&lt;0.01,"***",IF(       0&lt;0.05,"**",IF(       0&lt;0.1,"*","NS")))</f>
        <v>***</v>
      </c>
    </row>
    <row r="58" spans="1:20" x14ac:dyDescent="0.2">
      <c r="A58" s="296" t="s">
        <v>1044</v>
      </c>
      <c r="G58" s="296" t="s">
        <v>1148</v>
      </c>
      <c r="P58" s="296" t="s">
        <v>1267</v>
      </c>
    </row>
    <row r="59" spans="1:20" s="3" customFormat="1" x14ac:dyDescent="0.2">
      <c r="A59" s="6306" t="s">
        <v>1045</v>
      </c>
      <c r="B59" s="6307" t="s">
        <v>1046</v>
      </c>
      <c r="C59" s="6308" t="s">
        <v>1047</v>
      </c>
      <c r="D59" s="6309" t="s">
        <v>1048</v>
      </c>
      <c r="E59" s="6310" t="s">
        <v>1049</v>
      </c>
      <c r="G59" s="6311" t="s">
        <v>1149</v>
      </c>
      <c r="H59" s="6312" t="s">
        <v>1150</v>
      </c>
      <c r="I59" s="6313" t="s">
        <v>1151</v>
      </c>
      <c r="J59" s="6314" t="s">
        <v>1152</v>
      </c>
      <c r="K59" s="6315" t="s">
        <v>1153</v>
      </c>
      <c r="L59" s="6316" t="s">
        <v>1198</v>
      </c>
      <c r="M59" s="6317" t="s">
        <v>1199</v>
      </c>
      <c r="N59" s="6318" t="s">
        <v>1200</v>
      </c>
      <c r="P59" s="6319" t="s">
        <v>1268</v>
      </c>
      <c r="Q59" s="6320" t="s">
        <v>1269</v>
      </c>
      <c r="R59" s="6321" t="s">
        <v>1270</v>
      </c>
      <c r="S59" s="6322" t="s">
        <v>1271</v>
      </c>
      <c r="T59" s="6323" t="s">
        <v>1272</v>
      </c>
    </row>
    <row r="60" spans="1:20" x14ac:dyDescent="0.2">
      <c r="A60" s="296" t="s">
        <v>1050</v>
      </c>
      <c r="B60" s="4">
        <v>8.5903921612142469</v>
      </c>
      <c r="C60" s="4">
        <v>5.1242980967787446</v>
      </c>
      <c r="D60" s="4">
        <v>-3.4660940644354956</v>
      </c>
      <c r="E60" s="4154" t="str">
        <f>IF(       0.006&lt;0.01,"***",IF(       0.006&lt;0.05,"**",IF(       0.006&lt;0.1,"*","NS")))</f>
        <v>***</v>
      </c>
      <c r="G60" s="296" t="s">
        <v>1154</v>
      </c>
      <c r="H60" s="4">
        <v>8.5903921612142469</v>
      </c>
      <c r="I60" s="4">
        <v>6.3260653190416534</v>
      </c>
      <c r="J60" s="4">
        <v>-2.2643268421725833</v>
      </c>
      <c r="K60" s="4155" t="str">
        <f>IF(       0.069&lt;0.01,"***",IF(       0.069&lt;0.05,"**",IF(       0.069&lt;0.1,"*","NS")))</f>
        <v>*</v>
      </c>
      <c r="L60" s="4">
        <v>0.36129306983866571</v>
      </c>
      <c r="M60" s="4">
        <v>-8.2290990913755824</v>
      </c>
      <c r="N60" s="4156" t="str">
        <f>IF(       0&lt;0.01,"***",IF(       0&lt;0.05,"**",IF(       0&lt;0.1,"*","NS")))</f>
        <v>***</v>
      </c>
      <c r="P60" s="296" t="s">
        <v>1273</v>
      </c>
      <c r="Q60" s="4">
        <v>7.7529466385400951</v>
      </c>
      <c r="R60" s="4">
        <v>0.36129306983866571</v>
      </c>
      <c r="S60" s="4">
        <v>-7.3916535687013614</v>
      </c>
      <c r="T60" s="4157" t="str">
        <f>IF(       0&lt;0.01,"***",IF(       0&lt;0.05,"**",IF(       0&lt;0.1,"*","NS")))</f>
        <v>***</v>
      </c>
    </row>
    <row r="61" spans="1:20" x14ac:dyDescent="0.2">
      <c r="A61" s="296" t="s">
        <v>1051</v>
      </c>
      <c r="B61" s="4">
        <v>7.6366932909536871</v>
      </c>
      <c r="C61" s="4">
        <v>3.6117118357018851</v>
      </c>
      <c r="D61" s="4">
        <v>-4.0249814552517149</v>
      </c>
      <c r="E61" s="4158" t="str">
        <f>IF(       0&lt;0.01,"***",IF(       0&lt;0.05,"**",IF(       0&lt;0.1,"*","NS")))</f>
        <v>***</v>
      </c>
      <c r="G61" s="296" t="s">
        <v>1155</v>
      </c>
      <c r="H61" s="4">
        <v>7.6366932909536871</v>
      </c>
      <c r="I61" s="4">
        <v>4.2106165318471804</v>
      </c>
      <c r="J61" s="4">
        <v>-3.4260767591064525</v>
      </c>
      <c r="K61" s="4159" t="str">
        <f>IF(       0.002&lt;0.01,"***",IF(       0.002&lt;0.05,"**",IF(       0.002&lt;0.1,"*","NS")))</f>
        <v>***</v>
      </c>
      <c r="L61" s="4">
        <v>2.0470611562499839</v>
      </c>
      <c r="M61" s="4">
        <v>-5.5896321347036055</v>
      </c>
      <c r="N61" s="4160" t="str">
        <f>IF(       0&lt;0.01,"***",IF(       0&lt;0.05,"**",IF(       0&lt;0.1,"*","NS")))</f>
        <v>***</v>
      </c>
      <c r="P61" s="296" t="s">
        <v>1274</v>
      </c>
      <c r="Q61" s="4">
        <v>6.5754510219357041</v>
      </c>
      <c r="R61" s="4">
        <v>2.0470611562499839</v>
      </c>
      <c r="S61" s="4">
        <v>-4.5283898656856625</v>
      </c>
      <c r="T61" s="4161" t="str">
        <f>IF(       0&lt;0.01,"***",IF(       0&lt;0.05,"**",IF(       0&lt;0.1,"*","NS")))</f>
        <v>***</v>
      </c>
    </row>
    <row r="62" spans="1:20" x14ac:dyDescent="0.2">
      <c r="A62" s="296" t="s">
        <v>1052</v>
      </c>
      <c r="B62" s="4">
        <v>5.7600411906671782</v>
      </c>
      <c r="C62" s="4">
        <v>3.4149932378137589</v>
      </c>
      <c r="D62" s="4">
        <v>-2.3450479528534331</v>
      </c>
      <c r="E62" s="4162" t="str">
        <f>IF(       0.053&lt;0.01,"***",IF(       0.053&lt;0.05,"**",IF(       0.053&lt;0.1,"*","NS")))</f>
        <v>*</v>
      </c>
      <c r="G62" s="296" t="s">
        <v>1156</v>
      </c>
      <c r="H62" s="4">
        <v>5.7600411906671782</v>
      </c>
      <c r="I62" s="4">
        <v>3.3669577041137062</v>
      </c>
      <c r="J62" s="4">
        <v>-2.3930834865534889</v>
      </c>
      <c r="K62" s="4163" t="str">
        <f>IF(       0.038&lt;0.01,"***",IF(       0.038&lt;0.05,"**",IF(       0.038&lt;0.1,"*","NS")))</f>
        <v>**</v>
      </c>
      <c r="L62" s="4">
        <v>3.5569863779484701</v>
      </c>
      <c r="M62" s="4">
        <v>-2.2030548127186718</v>
      </c>
      <c r="N62" s="4164" t="str">
        <f>IF(       0.244&lt;0.01,"***",IF(       0.244&lt;0.05,"**",IF(       0.244&lt;0.1,"*","NS")))</f>
        <v>NS</v>
      </c>
      <c r="P62" s="296" t="s">
        <v>1275</v>
      </c>
      <c r="Q62" s="4">
        <v>5.1521889738248152</v>
      </c>
      <c r="R62" s="4">
        <v>3.5569863779484701</v>
      </c>
      <c r="S62" s="4">
        <v>-1.5952025958763343</v>
      </c>
      <c r="T62" s="4165" t="str">
        <f>IF(       0.356&lt;0.01,"***",IF(       0.356&lt;0.05,"**",IF(       0.356&lt;0.1,"*","NS")))</f>
        <v>NS</v>
      </c>
    </row>
    <row r="63" spans="1:20" x14ac:dyDescent="0.2">
      <c r="A63" s="296" t="s">
        <v>1053</v>
      </c>
      <c r="B63" s="4">
        <v>4.7025461025166821</v>
      </c>
      <c r="C63" s="4">
        <v>3.7342356564254611</v>
      </c>
      <c r="D63" s="4">
        <v>-0.96831044609121419</v>
      </c>
      <c r="E63" s="4166" t="str">
        <f>IF(       0.253&lt;0.01,"***",IF(       0.253&lt;0.05,"**",IF(       0.253&lt;0.1,"*","NS")))</f>
        <v>NS</v>
      </c>
      <c r="G63" s="296" t="s">
        <v>1157</v>
      </c>
      <c r="H63" s="4">
        <v>4.7025461025166821</v>
      </c>
      <c r="I63" s="4">
        <v>4.1984050462567506</v>
      </c>
      <c r="J63" s="4">
        <v>-0.50414105625992878</v>
      </c>
      <c r="K63" s="4167" t="str">
        <f>IF(       0.583&lt;0.01,"***",IF(       0.583&lt;0.05,"**",IF(       0.583&lt;0.1,"*","NS")))</f>
        <v>NS</v>
      </c>
      <c r="L63" s="4">
        <v>2.06180431781199</v>
      </c>
      <c r="M63" s="4">
        <v>-2.6407417847046952</v>
      </c>
      <c r="N63" s="4168" t="str">
        <f>IF(       0.018&lt;0.01,"***",IF(       0.018&lt;0.05,"**",IF(       0.018&lt;0.1,"*","NS")))</f>
        <v>**</v>
      </c>
      <c r="P63" s="296" t="s">
        <v>1276</v>
      </c>
      <c r="Q63" s="4">
        <v>4.5499734760146913</v>
      </c>
      <c r="R63" s="4">
        <v>2.06180431781199</v>
      </c>
      <c r="S63" s="4">
        <v>-2.4881691582027035</v>
      </c>
      <c r="T63" s="4169" t="str">
        <f>IF(       0.017&lt;0.01,"***",IF(       0.017&lt;0.05,"**",IF(       0.017&lt;0.1,"*","NS")))</f>
        <v>**</v>
      </c>
    </row>
    <row r="64" spans="1:20" x14ac:dyDescent="0.2">
      <c r="A64" s="296" t="s">
        <v>1054</v>
      </c>
      <c r="B64" s="4">
        <v>2.9118346945842859</v>
      </c>
      <c r="C64" s="4">
        <v>2.1784988649168162</v>
      </c>
      <c r="D64" s="4">
        <v>-0.73333582966747557</v>
      </c>
      <c r="E64" s="4170" t="str">
        <f>IF(       0.281&lt;0.01,"***",IF(       0.281&lt;0.05,"**",IF(       0.281&lt;0.1,"*","NS")))</f>
        <v>NS</v>
      </c>
      <c r="G64" s="296" t="s">
        <v>1158</v>
      </c>
      <c r="H64" s="4">
        <v>2.9118346945842859</v>
      </c>
      <c r="I64" s="4">
        <v>2.4587180288486672</v>
      </c>
      <c r="J64" s="4">
        <v>-0.45311666573562381</v>
      </c>
      <c r="K64" s="4171" t="str">
        <f>IF(       0.546&lt;0.01,"***",IF(       0.546&lt;0.05,"**",IF(       0.546&lt;0.1,"*","NS")))</f>
        <v>NS</v>
      </c>
      <c r="L64" s="4">
        <v>0.85040430751398299</v>
      </c>
      <c r="M64" s="4">
        <v>-2.0614303870703097</v>
      </c>
      <c r="N64" s="4172" t="str">
        <f>IF(       0.048&lt;0.01,"***",IF(       0.048&lt;0.05,"**",IF(       0.048&lt;0.1,"*","NS")))</f>
        <v>**</v>
      </c>
      <c r="P64" s="296" t="s">
        <v>1277</v>
      </c>
      <c r="Q64" s="4">
        <v>2.7856018994771792</v>
      </c>
      <c r="R64" s="4">
        <v>0.85040430751398299</v>
      </c>
      <c r="S64" s="4">
        <v>-1.9351975919631657</v>
      </c>
      <c r="T64" s="4173" t="str">
        <f>IF(       0.056&lt;0.01,"***",IF(       0.056&lt;0.05,"**",IF(       0.056&lt;0.1,"*","NS")))</f>
        <v>*</v>
      </c>
    </row>
    <row r="65" spans="1:20" x14ac:dyDescent="0.2">
      <c r="A65" s="296" t="s">
        <v>1055</v>
      </c>
      <c r="B65" s="4">
        <v>6.6378024054504046</v>
      </c>
      <c r="C65" s="4">
        <v>2.8909212338974402</v>
      </c>
      <c r="D65" s="4">
        <v>-3.7468811715529351</v>
      </c>
      <c r="E65" s="4174" t="str">
        <f>IF(       0.002&lt;0.01,"***",IF(       0.002&lt;0.05,"**",IF(       0.002&lt;0.1,"*","NS")))</f>
        <v>***</v>
      </c>
      <c r="G65" s="296" t="s">
        <v>1159</v>
      </c>
      <c r="H65" s="4">
        <v>6.6378024054504046</v>
      </c>
      <c r="I65" s="4">
        <v>3.5132090239586451</v>
      </c>
      <c r="J65" s="4">
        <v>-3.1245933814918008</v>
      </c>
      <c r="K65" s="4175" t="str">
        <f>IF(       0.012&lt;0.01,"***",IF(       0.012&lt;0.05,"**",IF(       0.012&lt;0.1,"*","NS")))</f>
        <v>**</v>
      </c>
      <c r="L65" s="4">
        <v>0.97330602715124681</v>
      </c>
      <c r="M65" s="4">
        <v>-5.6644963782992521</v>
      </c>
      <c r="N65" s="4176" t="str">
        <f>IF(       0&lt;0.01,"***",IF(       0&lt;0.05,"**",IF(       0&lt;0.1,"*","NS")))</f>
        <v>***</v>
      </c>
      <c r="P65" s="296" t="s">
        <v>1278</v>
      </c>
      <c r="Q65" s="4">
        <v>5.7189086128300826</v>
      </c>
      <c r="R65" s="4">
        <v>0.97330602715124681</v>
      </c>
      <c r="S65" s="4">
        <v>-4.7456025856788635</v>
      </c>
      <c r="T65" s="4177" t="str">
        <f>IF(       0&lt;0.01,"***",IF(       0&lt;0.05,"**",IF(       0&lt;0.1,"*","NS")))</f>
        <v>***</v>
      </c>
    </row>
    <row r="66" spans="1:20" x14ac:dyDescent="0.2">
      <c r="A66" s="296" t="s">
        <v>12</v>
      </c>
      <c r="B66" s="4" t="s">
        <v>6067</v>
      </c>
      <c r="C66" s="4" t="s">
        <v>6067</v>
      </c>
      <c r="D66" s="4" t="s">
        <v>6067</v>
      </c>
      <c r="E66" s="4" t="s">
        <v>6067</v>
      </c>
      <c r="G66" s="296" t="s">
        <v>12</v>
      </c>
      <c r="H66" s="4" t="s">
        <v>6067</v>
      </c>
      <c r="I66" s="4" t="s">
        <v>6067</v>
      </c>
      <c r="J66" s="4" t="s">
        <v>6067</v>
      </c>
      <c r="K66" s="4" t="s">
        <v>6067</v>
      </c>
      <c r="L66" s="4" t="s">
        <v>6067</v>
      </c>
      <c r="M66" s="4" t="s">
        <v>6067</v>
      </c>
      <c r="N66" s="4" t="s">
        <v>6067</v>
      </c>
      <c r="P66" s="296" t="s">
        <v>12</v>
      </c>
      <c r="Q66" s="4" t="s">
        <v>6067</v>
      </c>
      <c r="R66" s="4" t="s">
        <v>6067</v>
      </c>
      <c r="S66" s="4" t="s">
        <v>6067</v>
      </c>
      <c r="T66" s="4" t="s">
        <v>6067</v>
      </c>
    </row>
    <row r="67" spans="1:20" x14ac:dyDescent="0.2">
      <c r="A67" s="296" t="s">
        <v>1056</v>
      </c>
      <c r="B67" s="4">
        <v>3.1546613686138731</v>
      </c>
      <c r="C67" s="4">
        <v>3.4153767366081431</v>
      </c>
      <c r="D67" s="4">
        <v>0.26071536799427042</v>
      </c>
      <c r="E67" s="4178" t="str">
        <f>IF(       0.826&lt;0.01,"***",IF(       0.826&lt;0.05,"**",IF(       0.826&lt;0.1,"*","NS")))</f>
        <v>NS</v>
      </c>
      <c r="G67" s="296" t="s">
        <v>1160</v>
      </c>
      <c r="H67" s="4">
        <v>3.1546613686138731</v>
      </c>
      <c r="I67" s="4">
        <v>3.701572764018743</v>
      </c>
      <c r="J67" s="4">
        <v>0.54691139540486655</v>
      </c>
      <c r="K67" s="4179" t="str">
        <f>IF(       0.686&lt;0.01,"***",IF(       0.686&lt;0.05,"**",IF(       0.686&lt;0.1,"*","NS")))</f>
        <v>NS</v>
      </c>
      <c r="L67" s="4">
        <v>2.5410984291254901</v>
      </c>
      <c r="M67" s="4">
        <v>-0.61356293948838203</v>
      </c>
      <c r="N67" s="4180" t="str">
        <f>IF(       0.567&lt;0.01,"***",IF(       0.567&lt;0.05,"**",IF(       0.567&lt;0.1,"*","NS")))</f>
        <v>NS</v>
      </c>
      <c r="P67" s="296" t="s">
        <v>1279</v>
      </c>
      <c r="Q67" s="4">
        <v>3.2536507953484879</v>
      </c>
      <c r="R67" s="4">
        <v>2.5410984291254901</v>
      </c>
      <c r="S67" s="4">
        <v>-0.71255236622297891</v>
      </c>
      <c r="T67" s="4181" t="str">
        <f>IF(       0.451&lt;0.01,"***",IF(       0.451&lt;0.05,"**",IF(       0.451&lt;0.1,"*","NS")))</f>
        <v>NS</v>
      </c>
    </row>
    <row r="68" spans="1:20" x14ac:dyDescent="0.2">
      <c r="A68" s="296" t="s">
        <v>1057</v>
      </c>
      <c r="B68" s="4">
        <v>9.2714232004166757</v>
      </c>
      <c r="C68" s="4">
        <v>3.5179944107249028</v>
      </c>
      <c r="D68" s="4">
        <v>-5.7534287896917817</v>
      </c>
      <c r="E68" s="4182" t="str">
        <f>IF(       0&lt;0.01,"***",IF(       0&lt;0.05,"**",IF(       0&lt;0.1,"*","NS")))</f>
        <v>***</v>
      </c>
      <c r="G68" s="296" t="s">
        <v>1161</v>
      </c>
      <c r="H68" s="4">
        <v>9.2714232004166757</v>
      </c>
      <c r="I68" s="4">
        <v>4.2971938748017502</v>
      </c>
      <c r="J68" s="4">
        <v>-4.9742293256149654</v>
      </c>
      <c r="K68" s="4183" t="str">
        <f>IF(       0&lt;0.01,"***",IF(       0&lt;0.05,"**",IF(       0&lt;0.1,"*","NS")))</f>
        <v>***</v>
      </c>
      <c r="L68" s="4">
        <v>2.3081135411999631</v>
      </c>
      <c r="M68" s="4">
        <v>-6.9633096592167085</v>
      </c>
      <c r="N68" s="4184" t="str">
        <f>IF(       0&lt;0.01,"***",IF(       0&lt;0.05,"**",IF(       0&lt;0.1,"*","NS")))</f>
        <v>***</v>
      </c>
      <c r="P68" s="296" t="s">
        <v>1280</v>
      </c>
      <c r="Q68" s="4">
        <v>7.5023376669625383</v>
      </c>
      <c r="R68" s="4">
        <v>2.3081135411999631</v>
      </c>
      <c r="S68" s="4">
        <v>-5.1942241257625117</v>
      </c>
      <c r="T68" s="4185" t="str">
        <f>IF(       0&lt;0.01,"***",IF(       0&lt;0.05,"**",IF(       0&lt;0.1,"*","NS")))</f>
        <v>***</v>
      </c>
    </row>
    <row r="69" spans="1:20" x14ac:dyDescent="0.2">
      <c r="A69" s="296" t="s">
        <v>1058</v>
      </c>
      <c r="B69" s="4">
        <v>8.4816406593785754</v>
      </c>
      <c r="C69" s="4">
        <v>3.967439657898745</v>
      </c>
      <c r="D69" s="4">
        <v>-4.5142010014798784</v>
      </c>
      <c r="E69" s="4186" t="str">
        <f>IF(       0&lt;0.01,"***",IF(       0&lt;0.05,"**",IF(       0&lt;0.1,"*","NS")))</f>
        <v>***</v>
      </c>
      <c r="G69" s="296" t="s">
        <v>1162</v>
      </c>
      <c r="H69" s="4">
        <v>8.4816406593785754</v>
      </c>
      <c r="I69" s="4">
        <v>4.71791805134397</v>
      </c>
      <c r="J69" s="4">
        <v>-3.7637226080346506</v>
      </c>
      <c r="K69" s="4187" t="str">
        <f>IF(       0.002&lt;0.01,"***",IF(       0.002&lt;0.05,"**",IF(       0.002&lt;0.1,"*","NS")))</f>
        <v>***</v>
      </c>
      <c r="L69" s="4">
        <v>1.4978720127782259</v>
      </c>
      <c r="M69" s="4">
        <v>-6.9837686466003444</v>
      </c>
      <c r="N69" s="4188" t="str">
        <f>IF(       0&lt;0.01,"***",IF(       0&lt;0.05,"**",IF(       0&lt;0.1,"*","NS")))</f>
        <v>***</v>
      </c>
      <c r="P69" s="296" t="s">
        <v>1281</v>
      </c>
      <c r="Q69" s="4">
        <v>7.0270974476141843</v>
      </c>
      <c r="R69" s="4">
        <v>1.4978720127782259</v>
      </c>
      <c r="S69" s="4">
        <v>-5.5292254348360066</v>
      </c>
      <c r="T69" s="4189" t="str">
        <f>IF(       0&lt;0.01,"***",IF(       0&lt;0.05,"**",IF(       0&lt;0.1,"*","NS")))</f>
        <v>***</v>
      </c>
    </row>
    <row r="70" spans="1:20" x14ac:dyDescent="0.2">
      <c r="A70" s="296" t="s">
        <v>1059</v>
      </c>
      <c r="B70" s="4">
        <v>6.6012191276939269</v>
      </c>
      <c r="C70" s="4">
        <v>2.5290682956400059</v>
      </c>
      <c r="D70" s="4">
        <v>-4.0721508320539499</v>
      </c>
      <c r="E70" s="4190" t="str">
        <f>IF(       0.001&lt;0.01,"***",IF(       0.001&lt;0.05,"**",IF(       0.001&lt;0.1,"*","NS")))</f>
        <v>***</v>
      </c>
      <c r="G70" s="296" t="s">
        <v>1163</v>
      </c>
      <c r="H70" s="4">
        <v>6.6012191276939269</v>
      </c>
      <c r="I70" s="4">
        <v>3.2811186657160079</v>
      </c>
      <c r="J70" s="4">
        <v>-3.3201004619778982</v>
      </c>
      <c r="K70" s="4191" t="str">
        <f>IF(       0.003&lt;0.01,"***",IF(       0.003&lt;0.05,"**",IF(       0.003&lt;0.1,"*","NS")))</f>
        <v>***</v>
      </c>
      <c r="L70" s="4">
        <v>0.41075125107308291</v>
      </c>
      <c r="M70" s="4">
        <v>-6.1904678766208647</v>
      </c>
      <c r="N70" s="4192" t="str">
        <f>IF(       0&lt;0.01,"***",IF(       0&lt;0.05,"**",IF(       0&lt;0.1,"*","NS")))</f>
        <v>***</v>
      </c>
      <c r="P70" s="296" t="s">
        <v>1282</v>
      </c>
      <c r="Q70" s="4">
        <v>5.7287621015920038</v>
      </c>
      <c r="R70" s="4">
        <v>0.41075125107308291</v>
      </c>
      <c r="S70" s="4">
        <v>-5.318010850518915</v>
      </c>
      <c r="T70" s="4193" t="str">
        <f>IF(       0&lt;0.01,"***",IF(       0&lt;0.05,"**",IF(       0&lt;0.1,"*","NS")))</f>
        <v>***</v>
      </c>
    </row>
    <row r="71" spans="1:20" x14ac:dyDescent="0.2">
      <c r="A71" s="296" t="s">
        <v>1060</v>
      </c>
      <c r="B71" s="4">
        <v>19.325299417852921</v>
      </c>
      <c r="C71" s="4">
        <v>9.6213759408802826</v>
      </c>
      <c r="D71" s="4">
        <v>-9.7039234769724825</v>
      </c>
      <c r="E71" s="4194" t="str">
        <f>IF(       0&lt;0.01,"***",IF(       0&lt;0.05,"**",IF(       0&lt;0.1,"*","NS")))</f>
        <v>***</v>
      </c>
      <c r="G71" s="296" t="s">
        <v>1164</v>
      </c>
      <c r="H71" s="4">
        <v>19.325299417852921</v>
      </c>
      <c r="I71" s="4">
        <v>11.563818598876679</v>
      </c>
      <c r="J71" s="4">
        <v>-7.7614808189761373</v>
      </c>
      <c r="K71" s="4195" t="str">
        <f>IF(       0&lt;0.01,"***",IF(       0&lt;0.05,"**",IF(       0&lt;0.1,"*","NS")))</f>
        <v>***</v>
      </c>
      <c r="L71" s="4">
        <v>4.7694181656772434</v>
      </c>
      <c r="M71" s="4">
        <v>-14.55588125217592</v>
      </c>
      <c r="N71" s="4196" t="str">
        <f>IF(       0&lt;0.01,"***",IF(       0&lt;0.05,"**",IF(       0&lt;0.1,"*","NS")))</f>
        <v>***</v>
      </c>
      <c r="P71" s="296" t="s">
        <v>1283</v>
      </c>
      <c r="Q71" s="4">
        <v>17.40775901659805</v>
      </c>
      <c r="R71" s="4">
        <v>4.7694181656772434</v>
      </c>
      <c r="S71" s="4">
        <v>-12.638340850920605</v>
      </c>
      <c r="T71" s="4197" t="str">
        <f>IF(       0.001&lt;0.01,"***",IF(       0.001&lt;0.05,"**",IF(       0.001&lt;0.1,"*","NS")))</f>
        <v>***</v>
      </c>
    </row>
    <row r="72" spans="1:20" x14ac:dyDescent="0.2">
      <c r="A72" s="296" t="s">
        <v>1061</v>
      </c>
      <c r="B72" s="4">
        <v>7.9692738318361283</v>
      </c>
      <c r="C72" s="4">
        <v>4.5124711724284676</v>
      </c>
      <c r="D72" s="4">
        <v>-3.4568026594076144</v>
      </c>
      <c r="E72" s="4198" t="str">
        <f>IF(       0.011&lt;0.01,"***",IF(       0.011&lt;0.05,"**",IF(       0.011&lt;0.1,"*","NS")))</f>
        <v>**</v>
      </c>
      <c r="G72" s="296" t="s">
        <v>1165</v>
      </c>
      <c r="H72" s="4">
        <v>7.9692738318361283</v>
      </c>
      <c r="I72" s="4">
        <v>4.9731667657208272</v>
      </c>
      <c r="J72" s="4">
        <v>-2.9961070661153357</v>
      </c>
      <c r="K72" s="4199" t="str">
        <f>IF(       0.019&lt;0.01,"***",IF(       0.019&lt;0.05,"**",IF(       0.019&lt;0.1,"*","NS")))</f>
        <v>**</v>
      </c>
      <c r="L72" s="4">
        <v>3.1118922845401999</v>
      </c>
      <c r="M72" s="4">
        <v>-4.8573815472958444</v>
      </c>
      <c r="N72" s="4200" t="str">
        <f>IF(       0.012&lt;0.01,"***",IF(       0.012&lt;0.05,"**",IF(       0.012&lt;0.1,"*","NS")))</f>
        <v>**</v>
      </c>
      <c r="P72" s="296" t="s">
        <v>1284</v>
      </c>
      <c r="Q72" s="4">
        <v>7.2587767965530228</v>
      </c>
      <c r="R72" s="4">
        <v>3.1118922845401999</v>
      </c>
      <c r="S72" s="4">
        <v>-4.1468845120128277</v>
      </c>
      <c r="T72" s="4201" t="str">
        <f>IF(       0.015&lt;0.01,"***",IF(       0.015&lt;0.05,"**",IF(       0.015&lt;0.1,"*","NS")))</f>
        <v>**</v>
      </c>
    </row>
    <row r="73" spans="1:20" x14ac:dyDescent="0.2">
      <c r="A73" s="296" t="s">
        <v>1062</v>
      </c>
      <c r="B73" s="4">
        <v>5.3780683460638681</v>
      </c>
      <c r="C73" s="4">
        <v>3.2280419517484811</v>
      </c>
      <c r="D73" s="4">
        <v>-2.1500263943153866</v>
      </c>
      <c r="E73" s="4202" t="str">
        <f>IF(       0.022&lt;0.01,"***",IF(       0.022&lt;0.05,"**",IF(       0.022&lt;0.1,"*","NS")))</f>
        <v>**</v>
      </c>
      <c r="G73" s="296" t="s">
        <v>1166</v>
      </c>
      <c r="H73" s="4">
        <v>5.3780683460638681</v>
      </c>
      <c r="I73" s="4">
        <v>3.1713076807224319</v>
      </c>
      <c r="J73" s="4">
        <v>-2.2067606653414353</v>
      </c>
      <c r="K73" s="4203" t="str">
        <f>IF(       0.019&lt;0.01,"***",IF(       0.019&lt;0.05,"**",IF(       0.019&lt;0.1,"*","NS")))</f>
        <v>**</v>
      </c>
      <c r="L73" s="4">
        <v>3.3552561684376898</v>
      </c>
      <c r="M73" s="4">
        <v>-2.0228121776261623</v>
      </c>
      <c r="N73" s="4204" t="str">
        <f>IF(       0.086&lt;0.01,"***",IF(       0.086&lt;0.05,"**",IF(       0.086&lt;0.1,"*","NS")))</f>
        <v>*</v>
      </c>
      <c r="P73" s="296" t="s">
        <v>1285</v>
      </c>
      <c r="Q73" s="4">
        <v>4.6293283384181274</v>
      </c>
      <c r="R73" s="4">
        <v>3.3552561684376898</v>
      </c>
      <c r="S73" s="4">
        <v>-1.2740721699804014</v>
      </c>
      <c r="T73" s="4205" t="str">
        <f>IF(       0.198&lt;0.01,"***",IF(       0.198&lt;0.05,"**",IF(       0.198&lt;0.1,"*","NS")))</f>
        <v>NS</v>
      </c>
    </row>
    <row r="74" spans="1:20" x14ac:dyDescent="0.2">
      <c r="A74" s="296" t="s">
        <v>1063</v>
      </c>
      <c r="B74" s="4">
        <v>7.4457290607174436</v>
      </c>
      <c r="C74" s="4">
        <v>4.6803122992293646</v>
      </c>
      <c r="D74" s="4">
        <v>-2.7654167614880762</v>
      </c>
      <c r="E74" s="4206" t="str">
        <f>IF(       0.003&lt;0.01,"***",IF(       0.003&lt;0.05,"**",IF(       0.003&lt;0.1,"*","NS")))</f>
        <v>***</v>
      </c>
      <c r="G74" s="296" t="s">
        <v>1167</v>
      </c>
      <c r="H74" s="4">
        <v>7.4457290607174436</v>
      </c>
      <c r="I74" s="4">
        <v>3.760576742999123</v>
      </c>
      <c r="J74" s="4">
        <v>-3.6851523177183982</v>
      </c>
      <c r="K74" s="4207" t="str">
        <f>IF(       0.001&lt;0.01,"***",IF(       0.001&lt;0.05,"**",IF(       0.001&lt;0.1,"*","NS")))</f>
        <v>***</v>
      </c>
      <c r="L74" s="4">
        <v>7.728648464163725</v>
      </c>
      <c r="M74" s="4">
        <v>0.28291940344629024</v>
      </c>
      <c r="N74" s="4208" t="str">
        <f>IF(       0.89&lt;0.01,"***",IF(       0.89&lt;0.05,"**",IF(       0.89&lt;0.1,"*","NS")))</f>
        <v>NS</v>
      </c>
      <c r="P74" s="296" t="s">
        <v>1286</v>
      </c>
      <c r="Q74" s="4">
        <v>6.4437062632602657</v>
      </c>
      <c r="R74" s="4">
        <v>7.728648464163725</v>
      </c>
      <c r="S74" s="4">
        <v>1.2849422009034923</v>
      </c>
      <c r="T74" s="4209" t="str">
        <f>IF(       0.532&lt;0.01,"***",IF(       0.532&lt;0.05,"**",IF(       0.532&lt;0.1,"*","NS")))</f>
        <v>NS</v>
      </c>
    </row>
    <row r="75" spans="1:20" x14ac:dyDescent="0.2">
      <c r="A75" s="296" t="s">
        <v>5835</v>
      </c>
      <c r="B75" s="4">
        <v>7.976721743930888</v>
      </c>
      <c r="C75" s="4">
        <v>4.1203125565322622</v>
      </c>
      <c r="D75" s="4">
        <v>-3.8564091873986484</v>
      </c>
      <c r="E75" s="4210" t="str">
        <f>IF(       0&lt;0.01,"***",IF(       0&lt;0.05,"**",IF(       0&lt;0.1,"*","NS")))</f>
        <v>***</v>
      </c>
      <c r="G75" s="296" t="s">
        <v>5835</v>
      </c>
      <c r="H75" s="4">
        <v>7.976721743930888</v>
      </c>
      <c r="I75" s="4">
        <v>4.6596215882222012</v>
      </c>
      <c r="J75" s="4">
        <v>-3.3171001557086126</v>
      </c>
      <c r="K75" s="4211" t="str">
        <f>IF(       0&lt;0.01,"***",IF(       0&lt;0.05,"**",IF(       0&lt;0.1,"*","NS")))</f>
        <v>***</v>
      </c>
      <c r="L75" s="4">
        <v>2.5706836002690832</v>
      </c>
      <c r="M75" s="4">
        <v>-5.4060381436619869</v>
      </c>
      <c r="N75" s="4212" t="str">
        <f>IF(       0&lt;0.01,"***",IF(       0&lt;0.05,"**",IF(       0&lt;0.1,"*","NS")))</f>
        <v>***</v>
      </c>
      <c r="P75" s="296" t="s">
        <v>5835</v>
      </c>
      <c r="Q75" s="4">
        <v>7.0089070238213171</v>
      </c>
      <c r="R75" s="4">
        <v>2.5706836002690832</v>
      </c>
      <c r="S75" s="4">
        <v>-4.4382234235522438</v>
      </c>
      <c r="T75" s="4213" t="str">
        <f>IF(       0&lt;0.01,"***",IF(       0&lt;0.05,"**",IF(       0&lt;0.1,"*","NS")))</f>
        <v>***</v>
      </c>
    </row>
    <row r="77" spans="1:20" x14ac:dyDescent="0.2">
      <c r="A77" s="296" t="s">
        <v>1064</v>
      </c>
      <c r="G77" s="296" t="s">
        <v>1168</v>
      </c>
      <c r="P77" s="296" t="s">
        <v>1287</v>
      </c>
    </row>
    <row r="78" spans="1:20" s="3" customFormat="1" x14ac:dyDescent="0.2">
      <c r="A78" s="6324" t="s">
        <v>1065</v>
      </c>
      <c r="B78" s="6325" t="s">
        <v>1066</v>
      </c>
      <c r="C78" s="6326" t="s">
        <v>1067</v>
      </c>
      <c r="D78" s="6327" t="s">
        <v>1068</v>
      </c>
      <c r="E78" s="6328" t="s">
        <v>1069</v>
      </c>
      <c r="G78" s="6329" t="s">
        <v>1169</v>
      </c>
      <c r="H78" s="6330" t="s">
        <v>1170</v>
      </c>
      <c r="I78" s="6331" t="s">
        <v>1171</v>
      </c>
      <c r="J78" s="6332" t="s">
        <v>1172</v>
      </c>
      <c r="K78" s="6333" t="s">
        <v>1173</v>
      </c>
      <c r="L78" s="6334" t="s">
        <v>1201</v>
      </c>
      <c r="M78" s="6335" t="s">
        <v>1202</v>
      </c>
      <c r="N78" s="6336" t="s">
        <v>1203</v>
      </c>
      <c r="P78" s="6337" t="s">
        <v>1288</v>
      </c>
      <c r="Q78" s="6338" t="s">
        <v>1289</v>
      </c>
      <c r="R78" s="6339" t="s">
        <v>1290</v>
      </c>
      <c r="S78" s="6340" t="s">
        <v>1291</v>
      </c>
      <c r="T78" s="6341" t="s">
        <v>1292</v>
      </c>
    </row>
    <row r="79" spans="1:20" x14ac:dyDescent="0.2">
      <c r="A79" s="296" t="s">
        <v>1070</v>
      </c>
      <c r="B79" s="4" t="s">
        <v>6067</v>
      </c>
      <c r="C79" s="4" t="s">
        <v>6067</v>
      </c>
      <c r="D79" s="4" t="s">
        <v>6067</v>
      </c>
      <c r="E79" s="4" t="s">
        <v>6067</v>
      </c>
      <c r="G79" s="296" t="s">
        <v>1174</v>
      </c>
      <c r="H79" s="4" t="s">
        <v>6067</v>
      </c>
      <c r="I79" s="4" t="s">
        <v>6067</v>
      </c>
      <c r="J79" s="4" t="s">
        <v>6067</v>
      </c>
      <c r="K79" s="4" t="s">
        <v>6067</v>
      </c>
      <c r="L79" s="4" t="s">
        <v>6067</v>
      </c>
      <c r="M79" s="4" t="s">
        <v>6067</v>
      </c>
      <c r="N79" s="4" t="s">
        <v>6067</v>
      </c>
      <c r="P79" s="296" t="s">
        <v>1293</v>
      </c>
      <c r="Q79" s="4" t="s">
        <v>6067</v>
      </c>
      <c r="R79" s="4" t="s">
        <v>6067</v>
      </c>
      <c r="S79" s="4" t="s">
        <v>6067</v>
      </c>
      <c r="T79" s="4" t="s">
        <v>6067</v>
      </c>
    </row>
    <row r="80" spans="1:20" x14ac:dyDescent="0.2">
      <c r="A80" s="296" t="s">
        <v>1071</v>
      </c>
      <c r="B80" s="4">
        <v>18.66874815237718</v>
      </c>
      <c r="C80" s="4">
        <v>9.0469647219886902</v>
      </c>
      <c r="D80" s="4">
        <v>-9.6217834303884402</v>
      </c>
      <c r="E80" s="4214" t="str">
        <f>IF(       0.008&lt;0.01,"***",IF(       0.008&lt;0.05,"**",IF(       0.008&lt;0.1,"*","NS")))</f>
        <v>***</v>
      </c>
      <c r="G80" s="296" t="s">
        <v>1175</v>
      </c>
      <c r="H80" s="4">
        <v>18.66874815237718</v>
      </c>
      <c r="I80" s="4">
        <v>10.55402097212999</v>
      </c>
      <c r="J80" s="4">
        <v>-8.1147271802472254</v>
      </c>
      <c r="K80" s="4215" t="str">
        <f>IF(       0.02&lt;0.01,"***",IF(       0.02&lt;0.05,"**",IF(       0.02&lt;0.1,"*","NS")))</f>
        <v>**</v>
      </c>
      <c r="L80" s="4">
        <v>5.0477057971726316</v>
      </c>
      <c r="M80" s="4">
        <v>-13.621042355204571</v>
      </c>
      <c r="N80" s="4216" t="str">
        <f>IF(       0.004&lt;0.01,"***",IF(       0.004&lt;0.05,"**",IF(       0.004&lt;0.1,"*","NS")))</f>
        <v>***</v>
      </c>
      <c r="P80" s="296" t="s">
        <v>1294</v>
      </c>
      <c r="Q80" s="4">
        <v>16.77263514817632</v>
      </c>
      <c r="R80" s="4">
        <v>5.0477057971726316</v>
      </c>
      <c r="S80" s="4">
        <v>-11.724929351003633</v>
      </c>
      <c r="T80" s="4217" t="str">
        <f>IF(       0.006&lt;0.01,"***",IF(       0.006&lt;0.05,"**",IF(       0.006&lt;0.1,"*","NS")))</f>
        <v>***</v>
      </c>
    </row>
    <row r="81" spans="1:20" x14ac:dyDescent="0.2">
      <c r="A81" s="296" t="s">
        <v>1072</v>
      </c>
      <c r="B81" s="4" t="s">
        <v>6067</v>
      </c>
      <c r="C81" s="4" t="s">
        <v>6067</v>
      </c>
      <c r="D81" s="4" t="s">
        <v>6067</v>
      </c>
      <c r="E81" s="4" t="s">
        <v>6067</v>
      </c>
      <c r="G81" s="296" t="s">
        <v>1176</v>
      </c>
      <c r="H81" s="4" t="s">
        <v>6067</v>
      </c>
      <c r="I81" s="4" t="s">
        <v>6067</v>
      </c>
      <c r="J81" s="4" t="s">
        <v>6067</v>
      </c>
      <c r="K81" s="4" t="s">
        <v>6067</v>
      </c>
      <c r="L81" s="4" t="s">
        <v>6067</v>
      </c>
      <c r="M81" s="4" t="s">
        <v>6067</v>
      </c>
      <c r="N81" s="4" t="s">
        <v>6067</v>
      </c>
      <c r="P81" s="296" t="s">
        <v>1295</v>
      </c>
      <c r="Q81" s="4" t="s">
        <v>6067</v>
      </c>
      <c r="R81" s="4" t="s">
        <v>6067</v>
      </c>
      <c r="S81" s="4" t="s">
        <v>6067</v>
      </c>
      <c r="T81" s="4" t="s">
        <v>6067</v>
      </c>
    </row>
    <row r="82" spans="1:20" x14ac:dyDescent="0.2">
      <c r="A82" s="296" t="s">
        <v>1073</v>
      </c>
      <c r="B82" s="4" t="s">
        <v>6067</v>
      </c>
      <c r="C82" s="4" t="s">
        <v>6067</v>
      </c>
      <c r="D82" s="4" t="s">
        <v>6067</v>
      </c>
      <c r="E82" s="4" t="s">
        <v>6067</v>
      </c>
      <c r="G82" s="296" t="s">
        <v>1177</v>
      </c>
      <c r="H82" s="4" t="s">
        <v>6067</v>
      </c>
      <c r="I82" s="4" t="s">
        <v>6067</v>
      </c>
      <c r="J82" s="4" t="s">
        <v>6067</v>
      </c>
      <c r="K82" s="4" t="s">
        <v>6067</v>
      </c>
      <c r="L82" s="4" t="s">
        <v>6067</v>
      </c>
      <c r="M82" s="4" t="s">
        <v>6067</v>
      </c>
      <c r="N82" s="4" t="s">
        <v>6067</v>
      </c>
      <c r="P82" s="296" t="s">
        <v>1296</v>
      </c>
      <c r="Q82" s="4" t="s">
        <v>6067</v>
      </c>
      <c r="R82" s="4" t="s">
        <v>6067</v>
      </c>
      <c r="S82" s="4" t="s">
        <v>6067</v>
      </c>
      <c r="T82" s="4" t="s">
        <v>6067</v>
      </c>
    </row>
    <row r="83" spans="1:20" x14ac:dyDescent="0.2">
      <c r="A83" s="296" t="s">
        <v>1074</v>
      </c>
      <c r="B83" s="4" t="s">
        <v>6067</v>
      </c>
      <c r="C83" s="4" t="s">
        <v>6067</v>
      </c>
      <c r="D83" s="4" t="s">
        <v>6067</v>
      </c>
      <c r="E83" s="4" t="s">
        <v>6067</v>
      </c>
      <c r="G83" s="296" t="s">
        <v>1178</v>
      </c>
      <c r="H83" s="4" t="s">
        <v>6067</v>
      </c>
      <c r="I83" s="4" t="s">
        <v>6067</v>
      </c>
      <c r="J83" s="4" t="s">
        <v>6067</v>
      </c>
      <c r="K83" s="4" t="s">
        <v>6067</v>
      </c>
      <c r="L83" s="4" t="s">
        <v>6067</v>
      </c>
      <c r="M83" s="4" t="s">
        <v>6067</v>
      </c>
      <c r="N83" s="4" t="s">
        <v>6067</v>
      </c>
      <c r="P83" s="296" t="s">
        <v>1297</v>
      </c>
      <c r="Q83" s="4" t="s">
        <v>6067</v>
      </c>
      <c r="R83" s="4" t="s">
        <v>6067</v>
      </c>
      <c r="S83" s="4" t="s">
        <v>6067</v>
      </c>
      <c r="T83" s="4" t="s">
        <v>6067</v>
      </c>
    </row>
    <row r="84" spans="1:20" x14ac:dyDescent="0.2">
      <c r="A84" s="296" t="s">
        <v>1075</v>
      </c>
      <c r="B84" s="4" t="s">
        <v>6067</v>
      </c>
      <c r="C84" s="4" t="s">
        <v>6067</v>
      </c>
      <c r="D84" s="4" t="s">
        <v>6067</v>
      </c>
      <c r="E84" s="4" t="s">
        <v>6067</v>
      </c>
      <c r="G84" s="296" t="s">
        <v>1179</v>
      </c>
      <c r="H84" s="4" t="s">
        <v>6067</v>
      </c>
      <c r="I84" s="4" t="s">
        <v>6067</v>
      </c>
      <c r="J84" s="4" t="s">
        <v>6067</v>
      </c>
      <c r="K84" s="4" t="s">
        <v>6067</v>
      </c>
      <c r="L84" s="4" t="s">
        <v>6067</v>
      </c>
      <c r="M84" s="4" t="s">
        <v>6067</v>
      </c>
      <c r="N84" s="4" t="s">
        <v>6067</v>
      </c>
      <c r="P84" s="296" t="s">
        <v>1298</v>
      </c>
      <c r="Q84" s="4" t="s">
        <v>6067</v>
      </c>
      <c r="R84" s="4" t="s">
        <v>6067</v>
      </c>
      <c r="S84" s="4" t="s">
        <v>6067</v>
      </c>
      <c r="T84" s="4" t="s">
        <v>6067</v>
      </c>
    </row>
    <row r="85" spans="1:20" x14ac:dyDescent="0.2">
      <c r="A85" s="296" t="s">
        <v>1076</v>
      </c>
      <c r="B85" s="4">
        <v>33.836947602482823</v>
      </c>
      <c r="C85" s="4">
        <v>26.293849967968729</v>
      </c>
      <c r="D85" s="4">
        <v>-7.543097634514063</v>
      </c>
      <c r="E85" s="4218" t="str">
        <f>IF(       0.007&lt;0.01,"***",IF(       0.007&lt;0.05,"**",IF(       0.007&lt;0.1,"*","NS")))</f>
        <v>***</v>
      </c>
      <c r="G85" s="296" t="s">
        <v>1180</v>
      </c>
      <c r="H85" s="4">
        <v>33.836947602482823</v>
      </c>
      <c r="I85" s="4">
        <v>27.221308082829271</v>
      </c>
      <c r="J85" s="4">
        <v>-6.615639519653544</v>
      </c>
      <c r="K85" s="4219" t="str">
        <f>IF(       0.033&lt;0.01,"***",IF(       0.033&lt;0.05,"**",IF(       0.033&lt;0.1,"*","NS")))</f>
        <v>**</v>
      </c>
      <c r="L85" s="4">
        <v>21.918435403057408</v>
      </c>
      <c r="M85" s="4">
        <v>-11.918512199425328</v>
      </c>
      <c r="N85" s="4220" t="str">
        <f>IF(       0.061&lt;0.01,"***",IF(       0.061&lt;0.05,"**",IF(       0.061&lt;0.1,"*","NS")))</f>
        <v>*</v>
      </c>
      <c r="P85" s="296" t="s">
        <v>1299</v>
      </c>
      <c r="Q85" s="4">
        <v>32.846493696450189</v>
      </c>
      <c r="R85" s="4">
        <v>21.918435403057408</v>
      </c>
      <c r="S85" s="4">
        <v>-10.928058293392928</v>
      </c>
      <c r="T85" s="4221" t="str">
        <f>IF(       0.087&lt;0.01,"***",IF(       0.087&lt;0.05,"**",IF(       0.087&lt;0.1,"*","NS")))</f>
        <v>*</v>
      </c>
    </row>
    <row r="86" spans="1:20" x14ac:dyDescent="0.2">
      <c r="A86" s="296" t="s">
        <v>1077</v>
      </c>
      <c r="B86" s="4" t="s">
        <v>6067</v>
      </c>
      <c r="C86" s="4" t="s">
        <v>6067</v>
      </c>
      <c r="D86" s="4" t="s">
        <v>6067</v>
      </c>
      <c r="E86" s="4" t="s">
        <v>6067</v>
      </c>
      <c r="G86" s="296" t="s">
        <v>1181</v>
      </c>
      <c r="H86" s="4" t="s">
        <v>6067</v>
      </c>
      <c r="I86" s="4" t="s">
        <v>6067</v>
      </c>
      <c r="J86" s="4" t="s">
        <v>6067</v>
      </c>
      <c r="K86" s="4" t="s">
        <v>6067</v>
      </c>
      <c r="L86" s="4" t="s">
        <v>6067</v>
      </c>
      <c r="M86" s="4" t="s">
        <v>6067</v>
      </c>
      <c r="N86" s="4" t="s">
        <v>6067</v>
      </c>
      <c r="P86" s="296" t="s">
        <v>1300</v>
      </c>
      <c r="Q86" s="4" t="s">
        <v>6067</v>
      </c>
      <c r="R86" s="4" t="s">
        <v>6067</v>
      </c>
      <c r="S86" s="4" t="s">
        <v>6067</v>
      </c>
      <c r="T86" s="4" t="s">
        <v>6067</v>
      </c>
    </row>
    <row r="87" spans="1:20" x14ac:dyDescent="0.2">
      <c r="A87" s="296" t="s">
        <v>1078</v>
      </c>
      <c r="B87" s="4" t="s">
        <v>6067</v>
      </c>
      <c r="C87" s="4" t="s">
        <v>6067</v>
      </c>
      <c r="D87" s="4" t="s">
        <v>6067</v>
      </c>
      <c r="E87" s="4" t="s">
        <v>6067</v>
      </c>
      <c r="G87" s="296" t="s">
        <v>1182</v>
      </c>
      <c r="H87" s="4" t="s">
        <v>6067</v>
      </c>
      <c r="I87" s="4" t="s">
        <v>6067</v>
      </c>
      <c r="J87" s="4" t="s">
        <v>6067</v>
      </c>
      <c r="K87" s="4" t="s">
        <v>6067</v>
      </c>
      <c r="L87" s="4" t="s">
        <v>6067</v>
      </c>
      <c r="M87" s="4" t="s">
        <v>6067</v>
      </c>
      <c r="N87" s="4" t="s">
        <v>6067</v>
      </c>
      <c r="P87" s="296" t="s">
        <v>1301</v>
      </c>
      <c r="Q87" s="4" t="s">
        <v>6067</v>
      </c>
      <c r="R87" s="4" t="s">
        <v>6067</v>
      </c>
      <c r="S87" s="4" t="s">
        <v>6067</v>
      </c>
      <c r="T87" s="4" t="s">
        <v>6067</v>
      </c>
    </row>
    <row r="88" spans="1:20" x14ac:dyDescent="0.2">
      <c r="A88" s="296" t="s">
        <v>1079</v>
      </c>
      <c r="B88" s="4" t="s">
        <v>6067</v>
      </c>
      <c r="C88" s="4" t="s">
        <v>6067</v>
      </c>
      <c r="D88" s="4" t="s">
        <v>6067</v>
      </c>
      <c r="E88" s="4" t="s">
        <v>6067</v>
      </c>
      <c r="G88" s="296" t="s">
        <v>1183</v>
      </c>
      <c r="H88" s="4" t="s">
        <v>6067</v>
      </c>
      <c r="I88" s="4" t="s">
        <v>6067</v>
      </c>
      <c r="J88" s="4" t="s">
        <v>6067</v>
      </c>
      <c r="K88" s="4" t="s">
        <v>6067</v>
      </c>
      <c r="L88" s="4" t="s">
        <v>6067</v>
      </c>
      <c r="M88" s="4" t="s">
        <v>6067</v>
      </c>
      <c r="N88" s="4" t="s">
        <v>6067</v>
      </c>
      <c r="P88" s="296" t="s">
        <v>1302</v>
      </c>
      <c r="Q88" s="4" t="s">
        <v>6067</v>
      </c>
      <c r="R88" s="4" t="s">
        <v>6067</v>
      </c>
      <c r="S88" s="4" t="s">
        <v>6067</v>
      </c>
      <c r="T88" s="4" t="s">
        <v>6067</v>
      </c>
    </row>
    <row r="89" spans="1:20" x14ac:dyDescent="0.2">
      <c r="A89" s="296" t="s">
        <v>1080</v>
      </c>
      <c r="B89" s="4">
        <v>30.533403361474811</v>
      </c>
      <c r="C89" s="4">
        <v>12.02027663503662</v>
      </c>
      <c r="D89" s="4">
        <v>-18.513126726438323</v>
      </c>
      <c r="E89" s="4222" t="str">
        <f>IF(       0.004&lt;0.01,"***",IF(       0.004&lt;0.05,"**",IF(       0.004&lt;0.1,"*","NS")))</f>
        <v>***</v>
      </c>
      <c r="G89" s="296" t="s">
        <v>1184</v>
      </c>
      <c r="H89" s="4">
        <v>30.533403361474811</v>
      </c>
      <c r="I89" s="4">
        <v>11.65762618730203</v>
      </c>
      <c r="J89" s="4">
        <v>-18.875777174172548</v>
      </c>
      <c r="K89" s="4223" t="str">
        <f>IF(       0.006&lt;0.01,"***",IF(       0.006&lt;0.05,"**",IF(       0.006&lt;0.1,"*","NS")))</f>
        <v>***</v>
      </c>
      <c r="L89" s="4">
        <v>13.003277709727859</v>
      </c>
      <c r="M89" s="4">
        <v>-17.530125651746822</v>
      </c>
      <c r="N89" s="4224" t="str">
        <f>IF(       0.006&lt;0.01,"***",IF(       0.006&lt;0.05,"**",IF(       0.006&lt;0.1,"*","NS")))</f>
        <v>***</v>
      </c>
      <c r="P89" s="296" t="s">
        <v>1303</v>
      </c>
      <c r="Q89" s="4">
        <v>27.16098745821197</v>
      </c>
      <c r="R89" s="4">
        <v>13.003277709727859</v>
      </c>
      <c r="S89" s="4">
        <v>-14.157709748483866</v>
      </c>
      <c r="T89" s="4225" t="str">
        <f>IF(       0.012&lt;0.01,"***",IF(       0.012&lt;0.05,"**",IF(       0.012&lt;0.1,"*","NS")))</f>
        <v>**</v>
      </c>
    </row>
    <row r="90" spans="1:20" x14ac:dyDescent="0.2">
      <c r="A90" s="296" t="s">
        <v>1081</v>
      </c>
      <c r="B90" s="4" t="s">
        <v>6067</v>
      </c>
      <c r="C90" s="4" t="s">
        <v>6067</v>
      </c>
      <c r="D90" s="4" t="s">
        <v>6067</v>
      </c>
      <c r="E90" s="4" t="s">
        <v>6067</v>
      </c>
      <c r="G90" s="296" t="s">
        <v>1185</v>
      </c>
      <c r="H90" s="4" t="s">
        <v>6067</v>
      </c>
      <c r="I90" s="4" t="s">
        <v>6067</v>
      </c>
      <c r="J90" s="4" t="s">
        <v>6067</v>
      </c>
      <c r="K90" s="4" t="s">
        <v>6067</v>
      </c>
      <c r="L90" s="4" t="s">
        <v>6067</v>
      </c>
      <c r="M90" s="4" t="s">
        <v>6067</v>
      </c>
      <c r="N90" s="4" t="s">
        <v>6067</v>
      </c>
      <c r="P90" s="296" t="s">
        <v>1304</v>
      </c>
      <c r="Q90" s="4" t="s">
        <v>6067</v>
      </c>
      <c r="R90" s="4" t="s">
        <v>6067</v>
      </c>
      <c r="S90" s="4" t="s">
        <v>6067</v>
      </c>
      <c r="T90" s="4" t="s">
        <v>6067</v>
      </c>
    </row>
    <row r="91" spans="1:20" x14ac:dyDescent="0.2">
      <c r="A91" s="296" t="s">
        <v>1082</v>
      </c>
      <c r="B91" s="4" t="s">
        <v>6067</v>
      </c>
      <c r="C91" s="4" t="s">
        <v>6067</v>
      </c>
      <c r="D91" s="4" t="s">
        <v>6067</v>
      </c>
      <c r="E91" s="4" t="s">
        <v>6067</v>
      </c>
      <c r="G91" s="296" t="s">
        <v>1186</v>
      </c>
      <c r="H91" s="4" t="s">
        <v>6067</v>
      </c>
      <c r="I91" s="4" t="s">
        <v>6067</v>
      </c>
      <c r="J91" s="4" t="s">
        <v>6067</v>
      </c>
      <c r="K91" s="4" t="s">
        <v>6067</v>
      </c>
      <c r="L91" s="4" t="s">
        <v>6067</v>
      </c>
      <c r="M91" s="4" t="s">
        <v>6067</v>
      </c>
      <c r="N91" s="4" t="s">
        <v>6067</v>
      </c>
      <c r="P91" s="296" t="s">
        <v>1305</v>
      </c>
      <c r="Q91" s="4" t="s">
        <v>6067</v>
      </c>
      <c r="R91" s="4" t="s">
        <v>6067</v>
      </c>
      <c r="S91" s="4" t="s">
        <v>6067</v>
      </c>
      <c r="T91" s="4" t="s">
        <v>6067</v>
      </c>
    </row>
    <row r="92" spans="1:20" x14ac:dyDescent="0.2">
      <c r="A92" s="296" t="s">
        <v>1083</v>
      </c>
      <c r="B92" s="4">
        <v>8.662568293864549</v>
      </c>
      <c r="C92" s="4">
        <v>10.08656866650556</v>
      </c>
      <c r="D92" s="4">
        <v>1.4240003726410113</v>
      </c>
      <c r="E92" s="4226" t="str">
        <f>IF(       0.57&lt;0.01,"***",IF(       0.57&lt;0.05,"**",IF(       0.57&lt;0.1,"*","NS")))</f>
        <v>NS</v>
      </c>
      <c r="G92" s="296" t="s">
        <v>1187</v>
      </c>
      <c r="H92" s="4">
        <v>8.662568293864549</v>
      </c>
      <c r="I92" s="4">
        <v>11.46533458796438</v>
      </c>
      <c r="J92" s="4">
        <v>2.8027662940998468</v>
      </c>
      <c r="K92" s="4227" t="str">
        <f>IF(       0.33&lt;0.01,"***",IF(       0.33&lt;0.05,"**",IF(       0.33&lt;0.1,"*","NS")))</f>
        <v>NS</v>
      </c>
      <c r="L92" s="4">
        <v>7.1325210180287817</v>
      </c>
      <c r="M92" s="4">
        <v>-1.530047275835777</v>
      </c>
      <c r="N92" s="4228" t="str">
        <f>IF(       0.585&lt;0.01,"***",IF(       0.585&lt;0.05,"**",IF(       0.585&lt;0.1,"*","NS")))</f>
        <v>NS</v>
      </c>
      <c r="P92" s="296" t="s">
        <v>1306</v>
      </c>
      <c r="Q92" s="4">
        <v>9.4749721498348602</v>
      </c>
      <c r="R92" s="4">
        <v>7.1325210180287817</v>
      </c>
      <c r="S92" s="4">
        <v>-2.3424511318060941</v>
      </c>
      <c r="T92" s="4229" t="str">
        <f>IF(       0.358&lt;0.01,"***",IF(       0.358&lt;0.05,"**",IF(       0.358&lt;0.1,"*","NS")))</f>
        <v>NS</v>
      </c>
    </row>
    <row r="93" spans="1:20" x14ac:dyDescent="0.2">
      <c r="A93" s="296" t="s">
        <v>1084</v>
      </c>
      <c r="B93" s="4" t="s">
        <v>6067</v>
      </c>
      <c r="C93" s="4" t="s">
        <v>6067</v>
      </c>
      <c r="D93" s="4" t="s">
        <v>6067</v>
      </c>
      <c r="E93" s="4" t="s">
        <v>6067</v>
      </c>
      <c r="G93" s="296" t="s">
        <v>1188</v>
      </c>
      <c r="H93" s="4" t="s">
        <v>6067</v>
      </c>
      <c r="I93" s="4" t="s">
        <v>6067</v>
      </c>
      <c r="J93" s="4" t="s">
        <v>6067</v>
      </c>
      <c r="K93" s="4" t="s">
        <v>6067</v>
      </c>
      <c r="L93" s="4" t="s">
        <v>6067</v>
      </c>
      <c r="M93" s="4" t="s">
        <v>6067</v>
      </c>
      <c r="N93" s="4" t="s">
        <v>6067</v>
      </c>
      <c r="P93" s="296" t="s">
        <v>1307</v>
      </c>
      <c r="Q93" s="4" t="s">
        <v>6067</v>
      </c>
      <c r="R93" s="4" t="s">
        <v>6067</v>
      </c>
      <c r="S93" s="4" t="s">
        <v>6067</v>
      </c>
      <c r="T93" s="4" t="s">
        <v>6067</v>
      </c>
    </row>
    <row r="94" spans="1:20" x14ac:dyDescent="0.2">
      <c r="A94" s="296" t="s">
        <v>5835</v>
      </c>
      <c r="B94" s="4">
        <v>26.796070736179679</v>
      </c>
      <c r="C94" s="4">
        <v>16.541000777577541</v>
      </c>
      <c r="D94" s="4">
        <v>-10.255069958602064</v>
      </c>
      <c r="E94" s="4230" t="str">
        <f>IF(       0&lt;0.01,"***",IF(       0&lt;0.05,"**",IF(       0&lt;0.1,"*","NS")))</f>
        <v>***</v>
      </c>
      <c r="G94" s="296" t="s">
        <v>5835</v>
      </c>
      <c r="H94" s="4">
        <v>26.796070736179679</v>
      </c>
      <c r="I94" s="4">
        <v>18.00458121806431</v>
      </c>
      <c r="J94" s="4">
        <v>-8.7914895181153021</v>
      </c>
      <c r="K94" s="4231" t="str">
        <f>IF(       0&lt;0.01,"***",IF(       0&lt;0.05,"**",IF(       0&lt;0.1,"*","NS")))</f>
        <v>***</v>
      </c>
      <c r="L94" s="4">
        <v>11.548660232821691</v>
      </c>
      <c r="M94" s="4">
        <v>-15.24741050335839</v>
      </c>
      <c r="N94" s="4232" t="str">
        <f>IF(       0&lt;0.01,"***",IF(       0&lt;0.05,"**",IF(       0&lt;0.1,"*","NS")))</f>
        <v>***</v>
      </c>
      <c r="P94" s="296" t="s">
        <v>5835</v>
      </c>
      <c r="Q94" s="4">
        <v>25.056491104381632</v>
      </c>
      <c r="R94" s="4">
        <v>11.548660232821691</v>
      </c>
      <c r="S94" s="4">
        <v>-13.507830871560023</v>
      </c>
      <c r="T94" s="4233" t="str">
        <f>IF(       0&lt;0.01,"***",IF(       0&lt;0.05,"**",IF(       0&lt;0.1,"*","NS")))</f>
        <v>***</v>
      </c>
    </row>
    <row r="96" spans="1:20" x14ac:dyDescent="0.2">
      <c r="A96" s="296" t="s">
        <v>5750</v>
      </c>
      <c r="G96" s="296" t="s">
        <v>5751</v>
      </c>
      <c r="P96" s="296" t="s">
        <v>5752</v>
      </c>
    </row>
    <row r="97" spans="1:20" s="3" customFormat="1" x14ac:dyDescent="0.2">
      <c r="A97" s="6342" t="s">
        <v>4301</v>
      </c>
      <c r="B97" s="6343" t="s">
        <v>4302</v>
      </c>
      <c r="C97" s="6344" t="s">
        <v>4303</v>
      </c>
      <c r="D97" s="6345" t="s">
        <v>4304</v>
      </c>
      <c r="E97" s="6346" t="s">
        <v>4305</v>
      </c>
      <c r="G97" s="6347" t="s">
        <v>4341</v>
      </c>
      <c r="H97" s="6348" t="s">
        <v>4342</v>
      </c>
      <c r="I97" s="6349" t="s">
        <v>4343</v>
      </c>
      <c r="J97" s="6350" t="s">
        <v>4344</v>
      </c>
      <c r="K97" s="6351" t="s">
        <v>4345</v>
      </c>
      <c r="L97" s="6352" t="s">
        <v>4381</v>
      </c>
      <c r="M97" s="6353" t="s">
        <v>4382</v>
      </c>
      <c r="N97" s="6354" t="s">
        <v>4383</v>
      </c>
      <c r="P97" s="6355" t="s">
        <v>4387</v>
      </c>
      <c r="Q97" s="6356" t="s">
        <v>4388</v>
      </c>
      <c r="R97" s="6357" t="s">
        <v>4389</v>
      </c>
      <c r="S97" s="6358" t="s">
        <v>4390</v>
      </c>
      <c r="T97" s="6359" t="s">
        <v>4391</v>
      </c>
    </row>
    <row r="98" spans="1:20" x14ac:dyDescent="0.2">
      <c r="A98" s="296" t="s">
        <v>4306</v>
      </c>
      <c r="B98" s="4">
        <v>13.495491398166051</v>
      </c>
      <c r="C98" s="4">
        <v>7.9514030894414676</v>
      </c>
      <c r="D98" s="4">
        <v>-5.5440883087246409</v>
      </c>
      <c r="E98" s="4234" t="str">
        <f>IF(       0.002&lt;0.01,"***",IF(       0.002&lt;0.05,"**",IF(       0.002&lt;0.1,"*","NS")))</f>
        <v>***</v>
      </c>
      <c r="G98" s="296" t="s">
        <v>4346</v>
      </c>
      <c r="H98" s="4">
        <v>13.495491398166051</v>
      </c>
      <c r="I98" s="4">
        <v>8.6957828782734641</v>
      </c>
      <c r="J98" s="4">
        <v>-4.7997085198925795</v>
      </c>
      <c r="K98" s="4235" t="str">
        <f>IF(       0.01&lt;0.01,"***",IF(       0.01&lt;0.05,"**",IF(       0.01&lt;0.1,"*","NS")))</f>
        <v>**</v>
      </c>
      <c r="L98" s="4">
        <v>2.4035575277691801</v>
      </c>
      <c r="M98" s="4">
        <v>-11.09193387039697</v>
      </c>
      <c r="N98" s="4236" t="str">
        <f>IF(       0&lt;0.01,"***",IF(       0&lt;0.05,"**",IF(       0&lt;0.1,"*","NS")))</f>
        <v>***</v>
      </c>
      <c r="P98" s="296" t="s">
        <v>4392</v>
      </c>
      <c r="Q98" s="4">
        <v>12.105857853893269</v>
      </c>
      <c r="R98" s="4">
        <v>2.4035575277691801</v>
      </c>
      <c r="S98" s="4">
        <v>-9.7023003261241136</v>
      </c>
      <c r="T98" s="4237" t="str">
        <f>IF(       0.001&lt;0.01,"***",IF(       0.001&lt;0.05,"**",IF(       0.001&lt;0.1,"*","NS")))</f>
        <v>***</v>
      </c>
    </row>
    <row r="99" spans="1:20" x14ac:dyDescent="0.2">
      <c r="A99" s="296" t="s">
        <v>4307</v>
      </c>
      <c r="B99" s="4">
        <v>10.85124273360934</v>
      </c>
      <c r="C99" s="4">
        <v>5.1761917179598624</v>
      </c>
      <c r="D99" s="4">
        <v>-5.6750510156494833</v>
      </c>
      <c r="E99" s="4238" t="str">
        <f>IF(       0.002&lt;0.01,"***",IF(       0.002&lt;0.05,"**",IF(       0.002&lt;0.1,"*","NS")))</f>
        <v>***</v>
      </c>
      <c r="G99" s="296" t="s">
        <v>4347</v>
      </c>
      <c r="H99" s="4">
        <v>10.85124273360934</v>
      </c>
      <c r="I99" s="4">
        <v>5.2518544043564672</v>
      </c>
      <c r="J99" s="4">
        <v>-5.5993883292528936</v>
      </c>
      <c r="K99" s="4239" t="str">
        <f>IF(       0.003&lt;0.01,"***",IF(       0.003&lt;0.05,"**",IF(       0.003&lt;0.1,"*","NS")))</f>
        <v>***</v>
      </c>
      <c r="L99" s="4">
        <v>4.8151272030992782</v>
      </c>
      <c r="M99" s="4">
        <v>-6.0361155305100933</v>
      </c>
      <c r="N99" s="4240" t="str">
        <f>IF(       0&lt;0.01,"***",IF(       0&lt;0.05,"**",IF(       0&lt;0.1,"*","NS")))</f>
        <v>***</v>
      </c>
      <c r="P99" s="296" t="s">
        <v>4393</v>
      </c>
      <c r="Q99" s="4">
        <v>9.7177583187562622</v>
      </c>
      <c r="R99" s="4">
        <v>4.8151272030992782</v>
      </c>
      <c r="S99" s="4">
        <v>-4.9026311156569902</v>
      </c>
      <c r="T99" s="4241" t="str">
        <f>IF(       0.027&lt;0.01,"***",IF(       0.027&lt;0.05,"**",IF(       0.027&lt;0.1,"*","NS")))</f>
        <v>**</v>
      </c>
    </row>
    <row r="100" spans="1:20" x14ac:dyDescent="0.2">
      <c r="A100" s="296" t="s">
        <v>4308</v>
      </c>
      <c r="B100" s="4">
        <v>7.5927208675136422</v>
      </c>
      <c r="C100" s="4">
        <v>4.4817620208795796</v>
      </c>
      <c r="D100" s="4">
        <v>-3.1109588466340519</v>
      </c>
      <c r="E100" s="4242" t="str">
        <f>IF(       0.07&lt;0.01,"***",IF(       0.07&lt;0.05,"**",IF(       0.07&lt;0.1,"*","NS")))</f>
        <v>*</v>
      </c>
      <c r="G100" s="296" t="s">
        <v>4348</v>
      </c>
      <c r="H100" s="4">
        <v>7.5927208675136422</v>
      </c>
      <c r="I100" s="4">
        <v>4.7359436852733916</v>
      </c>
      <c r="J100" s="4">
        <v>-2.856777182240207</v>
      </c>
      <c r="K100" s="4243" t="str">
        <f>IF(       0.093&lt;0.01,"***",IF(       0.093&lt;0.05,"**",IF(       0.093&lt;0.1,"*","NS")))</f>
        <v>*</v>
      </c>
      <c r="L100" s="4">
        <v>3.2654781526257821</v>
      </c>
      <c r="M100" s="4">
        <v>-4.3272427148878529</v>
      </c>
      <c r="N100" s="4244" t="str">
        <f>IF(       0.011&lt;0.01,"***",IF(       0.011&lt;0.05,"**",IF(       0.011&lt;0.1,"*","NS")))</f>
        <v>**</v>
      </c>
      <c r="P100" s="296" t="s">
        <v>4394</v>
      </c>
      <c r="Q100" s="4">
        <v>7.1574737444558956</v>
      </c>
      <c r="R100" s="4">
        <v>3.2654781526257821</v>
      </c>
      <c r="S100" s="4">
        <v>-3.8919955918301117</v>
      </c>
      <c r="T100" s="4245" t="str">
        <f>IF(       0.178&lt;0.01,"***",IF(       0.178&lt;0.05,"**",IF(       0.178&lt;0.1,"*","NS")))</f>
        <v>NS</v>
      </c>
    </row>
    <row r="101" spans="1:20" x14ac:dyDescent="0.2">
      <c r="A101" s="296" t="s">
        <v>4309</v>
      </c>
      <c r="B101" s="4">
        <v>5.7788404468870116</v>
      </c>
      <c r="C101" s="4">
        <v>3.8421417411933332</v>
      </c>
      <c r="D101" s="4">
        <v>-1.9366987056937239</v>
      </c>
      <c r="E101" s="4246" t="str">
        <f>IF(       0.093&lt;0.01,"***",IF(       0.093&lt;0.05,"**",IF(       0.093&lt;0.1,"*","NS")))</f>
        <v>*</v>
      </c>
      <c r="G101" s="296" t="s">
        <v>4349</v>
      </c>
      <c r="H101" s="4">
        <v>5.7788404468870116</v>
      </c>
      <c r="I101" s="4">
        <v>4.0273986616955399</v>
      </c>
      <c r="J101" s="4">
        <v>-1.7514417851914554</v>
      </c>
      <c r="K101" s="4247" t="str">
        <f>IF(       0.144&lt;0.01,"***",IF(       0.144&lt;0.05,"**",IF(       0.144&lt;0.1,"*","NS")))</f>
        <v>NS</v>
      </c>
      <c r="L101" s="4">
        <v>2.5918245831975231</v>
      </c>
      <c r="M101" s="4">
        <v>-3.1870158636894481</v>
      </c>
      <c r="N101" s="4248" t="str">
        <f>IF(       0.149&lt;0.01,"***",IF(       0.149&lt;0.05,"**",IF(       0.149&lt;0.1,"*","NS")))</f>
        <v>NS</v>
      </c>
      <c r="P101" s="296" t="s">
        <v>4395</v>
      </c>
      <c r="Q101" s="4">
        <v>5.3931328219702106</v>
      </c>
      <c r="R101" s="4">
        <v>2.5918245831975231</v>
      </c>
      <c r="S101" s="4">
        <v>-2.8013082387727248</v>
      </c>
      <c r="T101" s="4249" t="str">
        <f>IF(       0.197&lt;0.01,"***",IF(       0.197&lt;0.05,"**",IF(       0.197&lt;0.1,"*","NS")))</f>
        <v>NS</v>
      </c>
    </row>
    <row r="102" spans="1:20" x14ac:dyDescent="0.2">
      <c r="A102" s="296" t="s">
        <v>4310</v>
      </c>
      <c r="B102" s="4" t="s">
        <v>6067</v>
      </c>
      <c r="C102" s="4" t="s">
        <v>6067</v>
      </c>
      <c r="D102" s="4" t="s">
        <v>6067</v>
      </c>
      <c r="E102" s="4" t="s">
        <v>6067</v>
      </c>
      <c r="G102" s="296" t="s">
        <v>4350</v>
      </c>
      <c r="H102" s="4" t="s">
        <v>6067</v>
      </c>
      <c r="I102" s="4" t="s">
        <v>6067</v>
      </c>
      <c r="J102" s="4" t="s">
        <v>6067</v>
      </c>
      <c r="K102" s="4" t="s">
        <v>6067</v>
      </c>
      <c r="L102" s="4" t="s">
        <v>6067</v>
      </c>
      <c r="M102" s="4" t="s">
        <v>6067</v>
      </c>
      <c r="N102" s="4" t="s">
        <v>6067</v>
      </c>
      <c r="P102" s="296" t="s">
        <v>4396</v>
      </c>
      <c r="Q102" s="4" t="s">
        <v>6067</v>
      </c>
      <c r="R102" s="4" t="s">
        <v>6067</v>
      </c>
      <c r="S102" s="4" t="s">
        <v>6067</v>
      </c>
      <c r="T102" s="4" t="s">
        <v>6067</v>
      </c>
    </row>
    <row r="103" spans="1:20" x14ac:dyDescent="0.2">
      <c r="A103" s="296" t="s">
        <v>4311</v>
      </c>
      <c r="B103" s="4">
        <v>9.4382340401611007</v>
      </c>
      <c r="C103" s="4">
        <v>4.1201915973203631</v>
      </c>
      <c r="D103" s="4">
        <v>-5.3180424428408228</v>
      </c>
      <c r="E103" s="4250" t="str">
        <f>IF(       0.001&lt;0.01,"***",IF(       0.001&lt;0.05,"**",IF(       0.001&lt;0.1,"*","NS")))</f>
        <v>***</v>
      </c>
      <c r="G103" s="296" t="s">
        <v>4351</v>
      </c>
      <c r="H103" s="4">
        <v>9.4382340401611007</v>
      </c>
      <c r="I103" s="4">
        <v>4.7589574183396586</v>
      </c>
      <c r="J103" s="4">
        <v>-4.6792766218214474</v>
      </c>
      <c r="K103" s="4251" t="str">
        <f>IF(       0.006&lt;0.01,"***",IF(       0.006&lt;0.05,"**",IF(       0.006&lt;0.1,"*","NS")))</f>
        <v>***</v>
      </c>
      <c r="L103" s="4">
        <v>0.93646932779745273</v>
      </c>
      <c r="M103" s="4">
        <v>-8.5017647123637818</v>
      </c>
      <c r="N103" s="4252" t="str">
        <f>IF(       0.035&lt;0.01,"***",IF(       0.035&lt;0.05,"**",IF(       0.035&lt;0.1,"*","NS")))</f>
        <v>**</v>
      </c>
      <c r="P103" s="296" t="s">
        <v>4397</v>
      </c>
      <c r="Q103" s="4">
        <v>8.4857684615487816</v>
      </c>
      <c r="R103" s="4">
        <v>0.93646932779745273</v>
      </c>
      <c r="S103" s="4">
        <v>-7.5492991337513464</v>
      </c>
      <c r="T103" s="4253" t="str">
        <f>IF(       0&lt;0.01,"***",IF(       0&lt;0.05,"**",IF(       0&lt;0.1,"*","NS")))</f>
        <v>***</v>
      </c>
    </row>
    <row r="104" spans="1:20" x14ac:dyDescent="0.2">
      <c r="A104" s="296" t="s">
        <v>4312</v>
      </c>
      <c r="B104" s="4">
        <v>34.106574941547549</v>
      </c>
      <c r="C104" s="4">
        <v>26.696903502515969</v>
      </c>
      <c r="D104" s="4">
        <v>-7.4096714390315528</v>
      </c>
      <c r="E104" s="4254" t="str">
        <f>IF(       0.026&lt;0.01,"***",IF(       0.026&lt;0.05,"**",IF(       0.026&lt;0.1,"*","NS")))</f>
        <v>**</v>
      </c>
      <c r="G104" s="296" t="s">
        <v>4352</v>
      </c>
      <c r="H104" s="4">
        <v>34.106574941547549</v>
      </c>
      <c r="I104" s="4">
        <v>27.71898570994804</v>
      </c>
      <c r="J104" s="4">
        <v>-6.3875892315994083</v>
      </c>
      <c r="K104" s="4255" t="str">
        <f>IF(       0.093&lt;0.01,"***",IF(       0.093&lt;0.05,"**",IF(       0.093&lt;0.1,"*","NS")))</f>
        <v>*</v>
      </c>
      <c r="L104" s="4">
        <v>22.577131215767199</v>
      </c>
      <c r="M104" s="4">
        <v>-11.529443725780419</v>
      </c>
      <c r="N104" s="4256" t="str">
        <f>IF(       0&lt;0.01,"***",IF(       0&lt;0.05,"**",IF(       0&lt;0.1,"*","NS")))</f>
        <v>***</v>
      </c>
      <c r="P104" s="296" t="s">
        <v>4398</v>
      </c>
      <c r="Q104" s="4">
        <v>33.433572919363272</v>
      </c>
      <c r="R104" s="4">
        <v>22.577131215767199</v>
      </c>
      <c r="S104" s="4">
        <v>-10.85644170359649</v>
      </c>
      <c r="T104" s="4257" t="str">
        <f>IF(       0.106&lt;0.01,"***",IF(       0.106&lt;0.05,"**",IF(       0.106&lt;0.1,"*","NS")))</f>
        <v>NS</v>
      </c>
    </row>
    <row r="105" spans="1:20" x14ac:dyDescent="0.2">
      <c r="A105" s="296" t="s">
        <v>4313</v>
      </c>
      <c r="B105" s="4" t="s">
        <v>6067</v>
      </c>
      <c r="C105" s="4" t="s">
        <v>6067</v>
      </c>
      <c r="D105" s="4" t="s">
        <v>6067</v>
      </c>
      <c r="E105" s="4" t="s">
        <v>6067</v>
      </c>
      <c r="G105" s="296" t="s">
        <v>4353</v>
      </c>
      <c r="H105" s="4" t="s">
        <v>6067</v>
      </c>
      <c r="I105" s="4" t="s">
        <v>6067</v>
      </c>
      <c r="J105" s="4" t="s">
        <v>6067</v>
      </c>
      <c r="K105" s="4" t="s">
        <v>6067</v>
      </c>
      <c r="L105" s="4" t="s">
        <v>6067</v>
      </c>
      <c r="M105" s="4" t="s">
        <v>6067</v>
      </c>
      <c r="N105" s="4" t="s">
        <v>6067</v>
      </c>
      <c r="P105" s="296" t="s">
        <v>4399</v>
      </c>
      <c r="Q105" s="4" t="s">
        <v>6067</v>
      </c>
      <c r="R105" s="4" t="s">
        <v>6067</v>
      </c>
      <c r="S105" s="4" t="s">
        <v>6067</v>
      </c>
      <c r="T105" s="4" t="s">
        <v>6067</v>
      </c>
    </row>
    <row r="106" spans="1:20" x14ac:dyDescent="0.2">
      <c r="A106" s="296" t="s">
        <v>4314</v>
      </c>
      <c r="B106" s="4">
        <v>13.151352849516471</v>
      </c>
      <c r="C106" s="4">
        <v>6.2088985594422166</v>
      </c>
      <c r="D106" s="4">
        <v>-6.942454290074271</v>
      </c>
      <c r="E106" s="4258" t="str">
        <f>IF(       0&lt;0.01,"***",IF(       0&lt;0.05,"**",IF(       0&lt;0.1,"*","NS")))</f>
        <v>***</v>
      </c>
      <c r="G106" s="296" t="s">
        <v>4354</v>
      </c>
      <c r="H106" s="4">
        <v>13.151352849516471</v>
      </c>
      <c r="I106" s="4">
        <v>7.237012333221811</v>
      </c>
      <c r="J106" s="4">
        <v>-5.9143405162946916</v>
      </c>
      <c r="K106" s="4259" t="str">
        <f>IF(       0.002&lt;0.01,"***",IF(       0.002&lt;0.05,"**",IF(       0.002&lt;0.1,"*","NS")))</f>
        <v>***</v>
      </c>
      <c r="L106" s="4">
        <v>3.484000250911107</v>
      </c>
      <c r="M106" s="4">
        <v>-9.6673525986053583</v>
      </c>
      <c r="N106" s="4260" t="str">
        <f>IF(       0.826&lt;0.01,"***",IF(       0.826&lt;0.05,"**",IF(       0.826&lt;0.1,"*","NS")))</f>
        <v>NS</v>
      </c>
      <c r="P106" s="296" t="s">
        <v>4400</v>
      </c>
      <c r="Q106" s="4">
        <v>11.72403544886591</v>
      </c>
      <c r="R106" s="4">
        <v>3.484000250911107</v>
      </c>
      <c r="S106" s="4">
        <v>-8.2400351979548496</v>
      </c>
      <c r="T106" s="4261" t="str">
        <f>IF(       0&lt;0.01,"***",IF(       0&lt;0.05,"**",IF(       0&lt;0.1,"*","NS")))</f>
        <v>***</v>
      </c>
    </row>
    <row r="107" spans="1:20" x14ac:dyDescent="0.2">
      <c r="A107" s="296" t="s">
        <v>4315</v>
      </c>
      <c r="B107" s="4">
        <v>9.7926360473146215</v>
      </c>
      <c r="C107" s="4">
        <v>6.197881373413952</v>
      </c>
      <c r="D107" s="4">
        <v>-3.5947546739006704</v>
      </c>
      <c r="E107" s="4262" t="str">
        <f>IF(       0.01&lt;0.01,"***",IF(       0.01&lt;0.05,"**",IF(       0.01&lt;0.1,"*","NS")))</f>
        <v>**</v>
      </c>
      <c r="G107" s="296" t="s">
        <v>4355</v>
      </c>
      <c r="H107" s="4">
        <v>9.7926360473146215</v>
      </c>
      <c r="I107" s="4">
        <v>6.3910135272650672</v>
      </c>
      <c r="J107" s="4">
        <v>-3.4016225200495604</v>
      </c>
      <c r="K107" s="4263" t="str">
        <f>IF(       0.011&lt;0.01,"***",IF(       0.011&lt;0.05,"**",IF(       0.011&lt;0.1,"*","NS")))</f>
        <v>**</v>
      </c>
      <c r="L107" s="4">
        <v>5.0527970174361192</v>
      </c>
      <c r="M107" s="4">
        <v>-4.7398390298784649</v>
      </c>
      <c r="N107" s="4264" t="str">
        <f>IF(       0&lt;0.01,"***",IF(       0&lt;0.05,"**",IF(       0&lt;0.1,"*","NS")))</f>
        <v>***</v>
      </c>
      <c r="P107" s="296" t="s">
        <v>4401</v>
      </c>
      <c r="Q107" s="4">
        <v>8.7043167897147704</v>
      </c>
      <c r="R107" s="4">
        <v>5.0527970174361192</v>
      </c>
      <c r="S107" s="4">
        <v>-3.6515197722787236</v>
      </c>
      <c r="T107" s="4265" t="str">
        <f>IF(       0.087&lt;0.01,"***",IF(       0.087&lt;0.05,"**",IF(       0.087&lt;0.1,"*","NS")))</f>
        <v>*</v>
      </c>
    </row>
    <row r="108" spans="1:20" x14ac:dyDescent="0.2">
      <c r="A108" s="296" t="s">
        <v>4316</v>
      </c>
      <c r="B108" s="4">
        <v>13.38886036276315</v>
      </c>
      <c r="C108" s="4">
        <v>6.1150982417933424</v>
      </c>
      <c r="D108" s="4">
        <v>-7.2737621209698293</v>
      </c>
      <c r="E108" s="4266" t="str">
        <f>IF(       0.008&lt;0.01,"***",IF(       0.008&lt;0.05,"**",IF(       0.008&lt;0.1,"*","NS")))</f>
        <v>***</v>
      </c>
      <c r="G108" s="296" t="s">
        <v>4356</v>
      </c>
      <c r="H108" s="4">
        <v>13.38886036276315</v>
      </c>
      <c r="I108" s="4">
        <v>6.5458452682210062</v>
      </c>
      <c r="J108" s="4">
        <v>-6.8430150945420927</v>
      </c>
      <c r="K108" s="4267" t="str">
        <f>IF(       0.015&lt;0.01,"***",IF(       0.015&lt;0.05,"**",IF(       0.015&lt;0.1,"*","NS")))</f>
        <v>**</v>
      </c>
      <c r="L108" s="4">
        <v>4.371706643915223</v>
      </c>
      <c r="M108" s="4">
        <v>-9.0171537188479469</v>
      </c>
      <c r="N108" s="4268" t="str">
        <f>IF(       0.046&lt;0.01,"***",IF(       0.046&lt;0.05,"**",IF(       0.046&lt;0.1,"*","NS")))</f>
        <v>**</v>
      </c>
      <c r="P108" s="296" t="s">
        <v>4402</v>
      </c>
      <c r="Q108" s="4">
        <v>12.335660033339209</v>
      </c>
      <c r="R108" s="4">
        <v>4.371706643915223</v>
      </c>
      <c r="S108" s="4">
        <v>-7.96395338942403</v>
      </c>
      <c r="T108" s="4269" t="str">
        <f>IF(       0.004&lt;0.01,"***",IF(       0.004&lt;0.05,"**",IF(       0.004&lt;0.1,"*","NS")))</f>
        <v>***</v>
      </c>
    </row>
    <row r="109" spans="1:20" x14ac:dyDescent="0.2">
      <c r="A109" s="296" t="s">
        <v>4317</v>
      </c>
      <c r="B109" s="4">
        <v>25.75688264374396</v>
      </c>
      <c r="C109" s="4">
        <v>15.2638802118566</v>
      </c>
      <c r="D109" s="4">
        <v>-10.493002431887202</v>
      </c>
      <c r="E109" s="4270" t="str">
        <f>IF(       0&lt;0.01,"***",IF(       0&lt;0.05,"**",IF(       0&lt;0.1,"*","NS")))</f>
        <v>***</v>
      </c>
      <c r="G109" s="296" t="s">
        <v>4357</v>
      </c>
      <c r="H109" s="4">
        <v>25.75688264374396</v>
      </c>
      <c r="I109" s="4">
        <v>16.38184058167305</v>
      </c>
      <c r="J109" s="4">
        <v>-9.3750420620710386</v>
      </c>
      <c r="K109" s="4271" t="str">
        <f>IF(       0&lt;0.01,"***",IF(       0&lt;0.05,"**",IF(       0&lt;0.1,"*","NS")))</f>
        <v>***</v>
      </c>
      <c r="L109" s="4">
        <v>9.2286435145663113</v>
      </c>
      <c r="M109" s="4">
        <v>-16.528239129177472</v>
      </c>
      <c r="N109" s="4272" t="str">
        <f>IF(       0.003&lt;0.01,"***",IF(       0.003&lt;0.05,"**",IF(       0.003&lt;0.1,"*","NS")))</f>
        <v>***</v>
      </c>
      <c r="P109" s="296" t="s">
        <v>4403</v>
      </c>
      <c r="Q109" s="4">
        <v>24.34303042814841</v>
      </c>
      <c r="R109" s="4">
        <v>9.2286435145663113</v>
      </c>
      <c r="S109" s="4">
        <v>-15.114386913582443</v>
      </c>
      <c r="T109" s="4273" t="str">
        <f>IF(       0&lt;0.01,"***",IF(       0&lt;0.05,"**",IF(       0&lt;0.1,"*","NS")))</f>
        <v>***</v>
      </c>
    </row>
    <row r="110" spans="1:20" x14ac:dyDescent="0.2">
      <c r="A110" s="296" t="s">
        <v>4318</v>
      </c>
      <c r="B110" s="4">
        <v>11.878988155006009</v>
      </c>
      <c r="C110" s="4">
        <v>6.6203102385058754</v>
      </c>
      <c r="D110" s="4">
        <v>-5.2586779165001296</v>
      </c>
      <c r="E110" s="4274" t="str">
        <f>IF(       0.007&lt;0.01,"***",IF(       0.007&lt;0.05,"**",IF(       0.007&lt;0.1,"*","NS")))</f>
        <v>***</v>
      </c>
      <c r="G110" s="296" t="s">
        <v>4358</v>
      </c>
      <c r="H110" s="4">
        <v>11.878988155006009</v>
      </c>
      <c r="I110" s="4">
        <v>6.8714163403888104</v>
      </c>
      <c r="J110" s="4">
        <v>-5.0075718146172274</v>
      </c>
      <c r="K110" s="4275" t="str">
        <f>IF(       0.009&lt;0.01,"***",IF(       0.009&lt;0.05,"**",IF(       0.009&lt;0.1,"*","NS")))</f>
        <v>***</v>
      </c>
      <c r="L110" s="4">
        <v>5.6255384184759869</v>
      </c>
      <c r="M110" s="4">
        <v>-6.2534497365299861</v>
      </c>
      <c r="N110" s="4276" t="str">
        <f>IF(       0&lt;0.01,"***",IF(       0&lt;0.05,"**",IF(       0&lt;0.1,"*","NS")))</f>
        <v>***</v>
      </c>
      <c r="P110" s="296" t="s">
        <v>4404</v>
      </c>
      <c r="Q110" s="4">
        <v>11.18972506501829</v>
      </c>
      <c r="R110" s="4">
        <v>5.6255384184759869</v>
      </c>
      <c r="S110" s="4">
        <v>-5.5641866465422725</v>
      </c>
      <c r="T110" s="4277" t="str">
        <f>IF(       0.167&lt;0.01,"***",IF(       0.167&lt;0.05,"**",IF(       0.167&lt;0.1,"*","NS")))</f>
        <v>NS</v>
      </c>
    </row>
    <row r="111" spans="1:20" x14ac:dyDescent="0.2">
      <c r="A111" s="296" t="s">
        <v>4319</v>
      </c>
      <c r="B111" s="4">
        <v>6.3625920773575881</v>
      </c>
      <c r="C111" s="4">
        <v>5.2116775364479038</v>
      </c>
      <c r="D111" s="4">
        <v>-1.1509145409096597</v>
      </c>
      <c r="E111" s="4278" t="str">
        <f>IF(       0.322&lt;0.01,"***",IF(       0.322&lt;0.05,"**",IF(       0.322&lt;0.1,"*","NS")))</f>
        <v>NS</v>
      </c>
      <c r="G111" s="296" t="s">
        <v>4359</v>
      </c>
      <c r="H111" s="4">
        <v>6.3625920773575881</v>
      </c>
      <c r="I111" s="4">
        <v>4.6543666497429461</v>
      </c>
      <c r="J111" s="4">
        <v>-1.7082254276146227</v>
      </c>
      <c r="K111" s="4279" t="str">
        <f>IF(       0.103&lt;0.01,"***",IF(       0.103&lt;0.05,"**",IF(       0.103&lt;0.1,"*","NS")))</f>
        <v>NS</v>
      </c>
      <c r="L111" s="4">
        <v>7.3668399918883072</v>
      </c>
      <c r="M111" s="4">
        <v>1.0042479145307193</v>
      </c>
      <c r="N111" s="4280" t="str">
        <f>IF(       0.127&lt;0.01,"***",IF(       0.127&lt;0.05,"**",IF(       0.127&lt;0.1,"*","NS")))</f>
        <v>NS</v>
      </c>
      <c r="P111" s="296" t="s">
        <v>4405</v>
      </c>
      <c r="Q111" s="4">
        <v>5.9126453043224316</v>
      </c>
      <c r="R111" s="4">
        <v>7.3668399918883072</v>
      </c>
      <c r="S111" s="4">
        <v>1.4541946875658889</v>
      </c>
      <c r="T111" s="4281" t="str">
        <f>IF(       0.48&lt;0.01,"***",IF(       0.48&lt;0.05,"**",IF(       0.48&lt;0.1,"*","NS")))</f>
        <v>NS</v>
      </c>
    </row>
    <row r="112" spans="1:20" x14ac:dyDescent="0.2">
      <c r="A112" s="296" t="s">
        <v>4320</v>
      </c>
      <c r="B112" s="4">
        <v>8.2511745956120972</v>
      </c>
      <c r="C112" s="4">
        <v>5.7749038311450089</v>
      </c>
      <c r="D112" s="4">
        <v>-2.4762707644670958</v>
      </c>
      <c r="E112" s="4282" t="str">
        <f>IF(       0.068&lt;0.01,"***",IF(       0.068&lt;0.05,"**",IF(       0.068&lt;0.1,"*","NS")))</f>
        <v>*</v>
      </c>
      <c r="G112" s="296" t="s">
        <v>4360</v>
      </c>
      <c r="H112" s="4">
        <v>8.2511745956120972</v>
      </c>
      <c r="I112" s="4">
        <v>5.3798903776800664</v>
      </c>
      <c r="J112" s="4">
        <v>-2.8712842179320743</v>
      </c>
      <c r="K112" s="4283" t="str">
        <f>IF(       0.046&lt;0.01,"***",IF(       0.046&lt;0.05,"**",IF(       0.046&lt;0.1,"*","NS")))</f>
        <v>**</v>
      </c>
      <c r="L112" s="4">
        <v>8.104562343541204</v>
      </c>
      <c r="M112" s="4">
        <v>-0.14661225207088482</v>
      </c>
      <c r="N112" s="4284" t="str">
        <f>IF(       0.648&lt;0.01,"***",IF(       0.648&lt;0.05,"**",IF(       0.648&lt;0.1,"*","NS")))</f>
        <v>NS</v>
      </c>
      <c r="P112" s="296" t="s">
        <v>4406</v>
      </c>
      <c r="Q112" s="4">
        <v>7.7172484439956186</v>
      </c>
      <c r="R112" s="4">
        <v>8.104562343541204</v>
      </c>
      <c r="S112" s="4">
        <v>0.38731389954560036</v>
      </c>
      <c r="T112" s="4285" t="str">
        <f>IF(       0.913&lt;0.01,"***",IF(       0.913&lt;0.05,"**",IF(       0.913&lt;0.1,"*","NS")))</f>
        <v>NS</v>
      </c>
    </row>
    <row r="113" spans="1:20" x14ac:dyDescent="0.2">
      <c r="A113" s="296" t="s">
        <v>5835</v>
      </c>
      <c r="B113" s="4">
        <v>13.431546869822791</v>
      </c>
      <c r="C113" s="4">
        <v>7.2251317395898376</v>
      </c>
      <c r="D113" s="4">
        <v>-6.2064151302328341</v>
      </c>
      <c r="E113" s="4286" t="str">
        <f>IF(       0&lt;0.01,"***",IF(       0&lt;0.05,"**",IF(       0&lt;0.1,"*","NS")))</f>
        <v>***</v>
      </c>
      <c r="G113" s="296" t="s">
        <v>5835</v>
      </c>
      <c r="H113" s="4">
        <v>13.431546869822791</v>
      </c>
      <c r="I113" s="4">
        <v>7.5725072106064104</v>
      </c>
      <c r="J113" s="4">
        <v>-5.8590396592164531</v>
      </c>
      <c r="K113" s="4287" t="str">
        <f>IF(       0&lt;0.01,"***",IF(       0&lt;0.05,"**",IF(       0&lt;0.1,"*","NS")))</f>
        <v>***</v>
      </c>
      <c r="L113" s="4">
        <v>5.5170958318903978</v>
      </c>
      <c r="M113" s="4">
        <v>-7.9144510379324338</v>
      </c>
      <c r="N113" s="4288" t="str">
        <f>IF(       0&lt;0.01,"***",IF(       0&lt;0.05,"**",IF(       0&lt;0.1,"*","NS")))</f>
        <v>***</v>
      </c>
      <c r="P113" s="296" t="s">
        <v>5835</v>
      </c>
      <c r="Q113" s="4">
        <v>12.30510272645857</v>
      </c>
      <c r="R113" s="4">
        <v>5.5170958318903978</v>
      </c>
      <c r="S113" s="4">
        <v>-6.7880068945678849</v>
      </c>
      <c r="T113" s="4289" t="str">
        <f>IF(       0&lt;0.01,"***",IF(       0&lt;0.05,"**",IF(       0&lt;0.1,"*","NS")))</f>
        <v>***</v>
      </c>
    </row>
    <row r="115" spans="1:20" x14ac:dyDescent="0.2">
      <c r="A115" s="296" t="s">
        <v>5789</v>
      </c>
      <c r="G115" s="296" t="s">
        <v>5790</v>
      </c>
      <c r="P115" s="296" t="s">
        <v>5791</v>
      </c>
    </row>
    <row r="116" spans="1:20" s="3" customFormat="1" x14ac:dyDescent="0.2">
      <c r="A116" s="6360" t="s">
        <v>4321</v>
      </c>
      <c r="B116" s="6361" t="s">
        <v>4322</v>
      </c>
      <c r="C116" s="6362" t="s">
        <v>4323</v>
      </c>
      <c r="D116" s="6363" t="s">
        <v>4324</v>
      </c>
      <c r="E116" s="6364" t="s">
        <v>4325</v>
      </c>
      <c r="G116" s="6365" t="s">
        <v>4361</v>
      </c>
      <c r="H116" s="6366" t="s">
        <v>4362</v>
      </c>
      <c r="I116" s="6367" t="s">
        <v>4363</v>
      </c>
      <c r="J116" s="6368" t="s">
        <v>4364</v>
      </c>
      <c r="K116" s="6369" t="s">
        <v>4365</v>
      </c>
      <c r="L116" s="6370" t="s">
        <v>4384</v>
      </c>
      <c r="M116" s="6371" t="s">
        <v>4385</v>
      </c>
      <c r="N116" s="6372" t="s">
        <v>4386</v>
      </c>
      <c r="P116" s="6373" t="s">
        <v>4407</v>
      </c>
      <c r="Q116" s="6374" t="s">
        <v>4408</v>
      </c>
      <c r="R116" s="6375" t="s">
        <v>4409</v>
      </c>
      <c r="S116" s="6376" t="s">
        <v>4410</v>
      </c>
      <c r="T116" s="6377" t="s">
        <v>4411</v>
      </c>
    </row>
    <row r="117" spans="1:20" x14ac:dyDescent="0.2">
      <c r="A117" s="296" t="s">
        <v>4326</v>
      </c>
      <c r="B117" s="4">
        <v>6.3664059127027617</v>
      </c>
      <c r="C117" s="4">
        <v>5.1782193148364444</v>
      </c>
      <c r="D117" s="4">
        <v>-1.1881865978663169</v>
      </c>
      <c r="E117" s="4290" t="str">
        <f>IF(       0.609&lt;0.01,"***",IF(       0.609&lt;0.05,"**",IF(       0.609&lt;0.1,"*","NS")))</f>
        <v>NS</v>
      </c>
      <c r="G117" s="296" t="s">
        <v>4366</v>
      </c>
      <c r="H117" s="4">
        <v>6.3664059127027617</v>
      </c>
      <c r="I117" s="4">
        <v>6.8895965915682362</v>
      </c>
      <c r="J117" s="4">
        <v>0.52319067886547188</v>
      </c>
      <c r="K117" s="4291" t="str">
        <f>IF(       0.85&lt;0.01,"***",IF(       0.85&lt;0.05,"**",IF(       0.85&lt;0.1,"*","NS")))</f>
        <v>NS</v>
      </c>
      <c r="L117" s="4">
        <v>1.6852698380834441</v>
      </c>
      <c r="M117" s="4">
        <v>-4.6811360746193058</v>
      </c>
      <c r="N117" s="4292" t="str">
        <f>IF(       0.026&lt;0.01,"***",IF(       0.026&lt;0.05,"**",IF(       0.026&lt;0.1,"*","NS")))</f>
        <v>**</v>
      </c>
      <c r="P117" s="296" t="s">
        <v>4412</v>
      </c>
      <c r="Q117" s="4">
        <v>6.7091715842407877</v>
      </c>
      <c r="R117" s="4">
        <v>1.6852698380834441</v>
      </c>
      <c r="S117" s="4">
        <v>-5.0239017461573425</v>
      </c>
      <c r="T117" s="4293" t="str">
        <f>IF(       0.006&lt;0.01,"***",IF(       0.006&lt;0.05,"**",IF(       0.006&lt;0.1,"*","NS")))</f>
        <v>***</v>
      </c>
    </row>
    <row r="118" spans="1:20" x14ac:dyDescent="0.2">
      <c r="A118" s="296" t="s">
        <v>4327</v>
      </c>
      <c r="B118" s="4">
        <v>11.075924531765191</v>
      </c>
      <c r="C118" s="4">
        <v>4.4624543681571209</v>
      </c>
      <c r="D118" s="4">
        <v>-6.6134701636080484</v>
      </c>
      <c r="E118" s="4294" t="str">
        <f>IF(       0.002&lt;0.01,"***",IF(       0.002&lt;0.05,"**",IF(       0.002&lt;0.1,"*","NS")))</f>
        <v>***</v>
      </c>
      <c r="G118" s="296" t="s">
        <v>4367</v>
      </c>
      <c r="H118" s="4">
        <v>11.075924531765191</v>
      </c>
      <c r="I118" s="4">
        <v>6.0435223883714313</v>
      </c>
      <c r="J118" s="4">
        <v>-5.0324021433937745</v>
      </c>
      <c r="K118" s="4295" t="str">
        <f>IF(       0.034&lt;0.01,"***",IF(       0.034&lt;0.05,"**",IF(       0.034&lt;0.1,"*","NS")))</f>
        <v>**</v>
      </c>
      <c r="L118" s="4">
        <v>1.786733375174741</v>
      </c>
      <c r="M118" s="4">
        <v>-9.2891911565904657</v>
      </c>
      <c r="N118" s="4296" t="str">
        <f>IF(       0&lt;0.01,"***",IF(       0&lt;0.05,"**",IF(       0&lt;0.1,"*","NS")))</f>
        <v>***</v>
      </c>
      <c r="P118" s="296" t="s">
        <v>4413</v>
      </c>
      <c r="Q118" s="4">
        <v>8.0391655063203746</v>
      </c>
      <c r="R118" s="4">
        <v>1.786733375174741</v>
      </c>
      <c r="S118" s="4">
        <v>-6.2524321311456514</v>
      </c>
      <c r="T118" s="4297" t="str">
        <f>IF(       0&lt;0.01,"***",IF(       0&lt;0.05,"**",IF(       0&lt;0.1,"*","NS")))</f>
        <v>***</v>
      </c>
    </row>
    <row r="119" spans="1:20" x14ac:dyDescent="0.2">
      <c r="A119" s="296" t="s">
        <v>4328</v>
      </c>
      <c r="B119" s="4">
        <v>8.8278717288275654</v>
      </c>
      <c r="C119" s="4">
        <v>4.9172285534429587</v>
      </c>
      <c r="D119" s="4">
        <v>-3.9106431753846116</v>
      </c>
      <c r="E119" s="4298" t="str">
        <f>IF(       0.083&lt;0.01,"***",IF(       0.083&lt;0.05,"**",IF(       0.083&lt;0.1,"*","NS")))</f>
        <v>*</v>
      </c>
      <c r="G119" s="296" t="s">
        <v>4368</v>
      </c>
      <c r="H119" s="4">
        <v>8.8278717288275654</v>
      </c>
      <c r="I119" s="4">
        <v>5.3952045200898286</v>
      </c>
      <c r="J119" s="4">
        <v>-3.4326672087377434</v>
      </c>
      <c r="K119" s="4299" t="str">
        <f>IF(       0.102&lt;0.01,"***",IF(       0.102&lt;0.05,"**",IF(       0.102&lt;0.1,"*","NS")))</f>
        <v>NS</v>
      </c>
      <c r="L119" s="4">
        <v>3.851103496219352</v>
      </c>
      <c r="M119" s="4">
        <v>-4.976768232608217</v>
      </c>
      <c r="N119" s="4300" t="str">
        <f>IF(       0.144&lt;0.01,"***",IF(       0.144&lt;0.05,"**",IF(       0.144&lt;0.1,"*","NS")))</f>
        <v>NS</v>
      </c>
      <c r="P119" s="296" t="s">
        <v>4414</v>
      </c>
      <c r="Q119" s="4">
        <v>7.1894598813163304</v>
      </c>
      <c r="R119" s="4">
        <v>3.851103496219352</v>
      </c>
      <c r="S119" s="4">
        <v>-3.3383563850969806</v>
      </c>
      <c r="T119" s="4301" t="str">
        <f>IF(       0.253&lt;0.01,"***",IF(       0.253&lt;0.05,"**",IF(       0.253&lt;0.1,"*","NS")))</f>
        <v>NS</v>
      </c>
    </row>
    <row r="120" spans="1:20" x14ac:dyDescent="0.2">
      <c r="A120" s="296" t="s">
        <v>4329</v>
      </c>
      <c r="B120" s="4">
        <v>9.7189164663469185</v>
      </c>
      <c r="C120" s="4">
        <v>7.182635131081172</v>
      </c>
      <c r="D120" s="4">
        <v>-2.5362813352657421</v>
      </c>
      <c r="E120" s="4302" t="str">
        <f>IF(       0.326&lt;0.01,"***",IF(       0.326&lt;0.05,"**",IF(       0.326&lt;0.1,"*","NS")))</f>
        <v>NS</v>
      </c>
      <c r="G120" s="296" t="s">
        <v>4369</v>
      </c>
      <c r="H120" s="4">
        <v>9.7189164663469185</v>
      </c>
      <c r="I120" s="4">
        <v>9.2884496344561054</v>
      </c>
      <c r="J120" s="4">
        <v>-0.43046683189080881</v>
      </c>
      <c r="K120" s="4303" t="str">
        <f>IF(       0.866&lt;0.01,"***",IF(       0.866&lt;0.05,"**",IF(       0.866&lt;0.1,"*","NS")))</f>
        <v>NS</v>
      </c>
      <c r="L120" s="4">
        <v>2.280313248762547</v>
      </c>
      <c r="M120" s="4">
        <v>-7.4386032175843626</v>
      </c>
      <c r="N120" s="4304" t="str">
        <f>IF(       0.02&lt;0.01,"***",IF(       0.02&lt;0.05,"**",IF(       0.02&lt;0.1,"*","NS")))</f>
        <v>**</v>
      </c>
      <c r="P120" s="296" t="s">
        <v>4415</v>
      </c>
      <c r="Q120" s="4">
        <v>9.4824569572345485</v>
      </c>
      <c r="R120" s="4">
        <v>2.280313248762547</v>
      </c>
      <c r="S120" s="4">
        <v>-7.2021437084720041</v>
      </c>
      <c r="T120" s="4305" t="str">
        <f>IF(       0.003&lt;0.01,"***",IF(       0.003&lt;0.05,"**",IF(       0.003&lt;0.1,"*","NS")))</f>
        <v>***</v>
      </c>
    </row>
    <row r="121" spans="1:20" x14ac:dyDescent="0.2">
      <c r="A121" s="296" t="s">
        <v>4330</v>
      </c>
      <c r="B121" s="4">
        <v>5.7720733975148608</v>
      </c>
      <c r="C121" s="4">
        <v>3.5718190208980909</v>
      </c>
      <c r="D121" s="4">
        <v>-2.2002543766167721</v>
      </c>
      <c r="E121" s="4306" t="str">
        <f>IF(       0.223&lt;0.01,"***",IF(       0.223&lt;0.05,"**",IF(       0.223&lt;0.1,"*","NS")))</f>
        <v>NS</v>
      </c>
      <c r="G121" s="296" t="s">
        <v>4370</v>
      </c>
      <c r="H121" s="4">
        <v>5.7720733975148608</v>
      </c>
      <c r="I121" s="4">
        <v>4.0335697208492096</v>
      </c>
      <c r="J121" s="4">
        <v>-1.7385036766656405</v>
      </c>
      <c r="K121" s="4307" t="str">
        <f>IF(       0.364&lt;0.01,"***",IF(       0.364&lt;0.05,"**",IF(       0.364&lt;0.1,"*","NS")))</f>
        <v>NS</v>
      </c>
      <c r="L121" s="4">
        <v>2.1147464401622038</v>
      </c>
      <c r="M121" s="4">
        <v>-3.6573269573526499</v>
      </c>
      <c r="N121" s="4308" t="str">
        <f>IF(       0.14&lt;0.01,"***",IF(       0.14&lt;0.05,"**",IF(       0.14&lt;0.1,"*","NS")))</f>
        <v>NS</v>
      </c>
      <c r="P121" s="296" t="s">
        <v>4416</v>
      </c>
      <c r="Q121" s="4">
        <v>4.7328771745121063</v>
      </c>
      <c r="R121" s="4">
        <v>2.1147464401622038</v>
      </c>
      <c r="S121" s="4">
        <v>-2.6181307343499012</v>
      </c>
      <c r="T121" s="4309" t="str">
        <f>IF(       0.224&lt;0.01,"***",IF(       0.224&lt;0.05,"**",IF(       0.224&lt;0.1,"*","NS")))</f>
        <v>NS</v>
      </c>
    </row>
    <row r="122" spans="1:20" x14ac:dyDescent="0.2">
      <c r="A122" s="296" t="s">
        <v>4331</v>
      </c>
      <c r="B122" s="4">
        <v>9.7781310303024469</v>
      </c>
      <c r="C122" s="4">
        <v>4.3850809025780411</v>
      </c>
      <c r="D122" s="4">
        <v>-5.3930501277244254</v>
      </c>
      <c r="E122" s="4310" t="str">
        <f>IF(       0.063&lt;0.01,"***",IF(       0.063&lt;0.05,"**",IF(       0.063&lt;0.1,"*","NS")))</f>
        <v>*</v>
      </c>
      <c r="G122" s="296" t="s">
        <v>4371</v>
      </c>
      <c r="H122" s="4">
        <v>9.7781310303024469</v>
      </c>
      <c r="I122" s="4">
        <v>5.5546314357927393</v>
      </c>
      <c r="J122" s="4">
        <v>-4.2234995945097156</v>
      </c>
      <c r="K122" s="4311" t="str">
        <f>IF(       0.158&lt;0.01,"***",IF(       0.158&lt;0.05,"**",IF(       0.158&lt;0.1,"*","NS")))</f>
        <v>NS</v>
      </c>
      <c r="L122" s="4">
        <v>1.933959538406516</v>
      </c>
      <c r="M122" s="4">
        <v>-7.8441714918959384</v>
      </c>
      <c r="N122" s="4312" t="str">
        <f>IF(       0.006&lt;0.01,"***",IF(       0.006&lt;0.05,"**",IF(       0.006&lt;0.1,"*","NS")))</f>
        <v>***</v>
      </c>
      <c r="P122" s="296" t="s">
        <v>4417</v>
      </c>
      <c r="Q122" s="4">
        <v>7.3184157489450179</v>
      </c>
      <c r="R122" s="4">
        <v>1.933959538406516</v>
      </c>
      <c r="S122" s="4">
        <v>-5.3844562105385378</v>
      </c>
      <c r="T122" s="4313" t="str">
        <f>IF(       0.001&lt;0.01,"***",IF(       0.001&lt;0.05,"**",IF(       0.001&lt;0.1,"*","NS")))</f>
        <v>***</v>
      </c>
    </row>
    <row r="123" spans="1:20" x14ac:dyDescent="0.2">
      <c r="A123" s="296" t="s">
        <v>4332</v>
      </c>
      <c r="B123" s="4" t="s">
        <v>6067</v>
      </c>
      <c r="C123" s="4" t="s">
        <v>6067</v>
      </c>
      <c r="D123" s="4" t="s">
        <v>6067</v>
      </c>
      <c r="E123" s="4" t="s">
        <v>6067</v>
      </c>
      <c r="G123" s="296" t="s">
        <v>4372</v>
      </c>
      <c r="H123" s="4" t="s">
        <v>6067</v>
      </c>
      <c r="I123" s="4" t="s">
        <v>6067</v>
      </c>
      <c r="J123" s="4" t="s">
        <v>6067</v>
      </c>
      <c r="K123" s="4" t="s">
        <v>6067</v>
      </c>
      <c r="L123" s="4" t="s">
        <v>6067</v>
      </c>
      <c r="M123" s="4" t="s">
        <v>6067</v>
      </c>
      <c r="N123" s="4" t="s">
        <v>6067</v>
      </c>
      <c r="P123" s="296" t="s">
        <v>4418</v>
      </c>
      <c r="Q123" s="4" t="s">
        <v>6067</v>
      </c>
      <c r="R123" s="4" t="s">
        <v>6067</v>
      </c>
      <c r="S123" s="4" t="s">
        <v>6067</v>
      </c>
      <c r="T123" s="4" t="s">
        <v>6067</v>
      </c>
    </row>
    <row r="124" spans="1:20" x14ac:dyDescent="0.2">
      <c r="A124" s="296" t="s">
        <v>4333</v>
      </c>
      <c r="B124" s="4">
        <v>2.104537993921201</v>
      </c>
      <c r="C124" s="4">
        <v>1.4211619268385829</v>
      </c>
      <c r="D124" s="4">
        <v>-0.68337606708262433</v>
      </c>
      <c r="E124" s="4314" t="str">
        <f>IF(       0.554&lt;0.01,"***",IF(       0.554&lt;0.05,"**",IF(       0.554&lt;0.1,"*","NS")))</f>
        <v>NS</v>
      </c>
      <c r="G124" s="296" t="s">
        <v>4373</v>
      </c>
      <c r="H124" s="4">
        <v>2.104537993921201</v>
      </c>
      <c r="I124" s="4">
        <v>1.2877405430882589</v>
      </c>
      <c r="J124" s="4">
        <v>-0.81679745083294109</v>
      </c>
      <c r="K124" s="4315" t="str">
        <f>IF(       0.466&lt;0.01,"***",IF(       0.466&lt;0.05,"**",IF(       0.466&lt;0.1,"*","NS")))</f>
        <v>NS</v>
      </c>
      <c r="L124" s="4">
        <v>1.7712828996601591</v>
      </c>
      <c r="M124" s="4">
        <v>-0.33325509426104449</v>
      </c>
      <c r="N124" s="4316" t="str">
        <f>IF(       0.835&lt;0.01,"***",IF(       0.835&lt;0.05,"**",IF(       0.835&lt;0.1,"*","NS")))</f>
        <v>NS</v>
      </c>
      <c r="P124" s="296" t="s">
        <v>4419</v>
      </c>
      <c r="Q124" s="4">
        <v>1.7668500500394591</v>
      </c>
      <c r="R124" s="4">
        <v>1.7712828996601591</v>
      </c>
      <c r="S124" s="4">
        <v>4.4328496206982879E-3</v>
      </c>
      <c r="T124" s="4317" t="str">
        <f>IF(       0.997&lt;0.01,"***",IF(       0.997&lt;0.05,"**",IF(       0.997&lt;0.1,"*","NS")))</f>
        <v>NS</v>
      </c>
    </row>
    <row r="125" spans="1:20" x14ac:dyDescent="0.2">
      <c r="A125" s="296" t="s">
        <v>4334</v>
      </c>
      <c r="B125" s="4">
        <v>16.65414133296596</v>
      </c>
      <c r="C125" s="4">
        <v>3.917707201208779</v>
      </c>
      <c r="D125" s="4">
        <v>-12.736434131757166</v>
      </c>
      <c r="E125" s="4318" t="str">
        <f>IF(       0&lt;0.01,"***",IF(       0&lt;0.05,"**",IF(       0&lt;0.1,"*","NS")))</f>
        <v>***</v>
      </c>
      <c r="G125" s="296" t="s">
        <v>4374</v>
      </c>
      <c r="H125" s="4">
        <v>16.65414133296596</v>
      </c>
      <c r="I125" s="4">
        <v>5.6578823469190738</v>
      </c>
      <c r="J125" s="4">
        <v>-10.99625898604689</v>
      </c>
      <c r="K125" s="4319" t="str">
        <f>IF(       0&lt;0.01,"***",IF(       0&lt;0.05,"**",IF(       0&lt;0.1,"*","NS")))</f>
        <v>***</v>
      </c>
      <c r="L125" s="4">
        <v>2.0367727796427402</v>
      </c>
      <c r="M125" s="4">
        <v>-14.617368553323219</v>
      </c>
      <c r="N125" s="4320" t="str">
        <f>IF(       0&lt;0.01,"***",IF(       0&lt;0.05,"**",IF(       0&lt;0.1,"*","NS")))</f>
        <v>***</v>
      </c>
      <c r="P125" s="296" t="s">
        <v>4420</v>
      </c>
      <c r="Q125" s="4">
        <v>9.3064517411973089</v>
      </c>
      <c r="R125" s="4">
        <v>2.0367727796427402</v>
      </c>
      <c r="S125" s="4">
        <v>-7.2696789615545656</v>
      </c>
      <c r="T125" s="4321" t="str">
        <f>IF(       0.002&lt;0.01,"***",IF(       0.002&lt;0.05,"**",IF(       0.002&lt;0.1,"*","NS")))</f>
        <v>***</v>
      </c>
    </row>
    <row r="126" spans="1:20" x14ac:dyDescent="0.2">
      <c r="A126" s="296" t="s">
        <v>4335</v>
      </c>
      <c r="B126" s="4">
        <v>7.7728567473170944</v>
      </c>
      <c r="C126" s="4">
        <v>3.399700852562479</v>
      </c>
      <c r="D126" s="4">
        <v>-4.3731558947546274</v>
      </c>
      <c r="E126" s="4322" t="str">
        <f>IF(       0.051&lt;0.01,"***",IF(       0.051&lt;0.05,"**",IF(       0.051&lt;0.1,"*","NS")))</f>
        <v>*</v>
      </c>
      <c r="G126" s="296" t="s">
        <v>4375</v>
      </c>
      <c r="H126" s="4">
        <v>7.7728567473170944</v>
      </c>
      <c r="I126" s="4">
        <v>4.4695206661271296</v>
      </c>
      <c r="J126" s="4">
        <v>-3.3033360811899586</v>
      </c>
      <c r="K126" s="4323" t="str">
        <f>IF(       0.175&lt;0.01,"***",IF(       0.175&lt;0.05,"**",IF(       0.175&lt;0.1,"*","NS")))</f>
        <v>NS</v>
      </c>
      <c r="L126" s="4">
        <v>1.5767101092045961</v>
      </c>
      <c r="M126" s="4">
        <v>-6.1961466381125128</v>
      </c>
      <c r="N126" s="4324" t="str">
        <f>IF(       0.005&lt;0.01,"***",IF(       0.005&lt;0.05,"**",IF(       0.005&lt;0.1,"*","NS")))</f>
        <v>***</v>
      </c>
      <c r="P126" s="296" t="s">
        <v>4421</v>
      </c>
      <c r="Q126" s="4">
        <v>5.5667927101592474</v>
      </c>
      <c r="R126" s="4">
        <v>1.5767101092045961</v>
      </c>
      <c r="S126" s="4">
        <v>-3.9900826009546311</v>
      </c>
      <c r="T126" s="4325" t="str">
        <f>IF(       0.002&lt;0.01,"***",IF(       0.002&lt;0.05,"**",IF(       0.002&lt;0.1,"*","NS")))</f>
        <v>***</v>
      </c>
    </row>
    <row r="127" spans="1:20" x14ac:dyDescent="0.2">
      <c r="A127" s="296" t="s">
        <v>4336</v>
      </c>
      <c r="B127" s="4">
        <v>15.606973609158279</v>
      </c>
      <c r="C127" s="4">
        <v>2.9850095339479501</v>
      </c>
      <c r="D127" s="4">
        <v>-12.621964075210325</v>
      </c>
      <c r="E127" s="4326" t="str">
        <f>IF(       0.019&lt;0.01,"***",IF(       0.019&lt;0.05,"**",IF(       0.019&lt;0.1,"*","NS")))</f>
        <v>**</v>
      </c>
      <c r="G127" s="296" t="s">
        <v>4376</v>
      </c>
      <c r="H127" s="4">
        <v>15.606973609158279</v>
      </c>
      <c r="I127" s="4">
        <v>3.3101707350192888</v>
      </c>
      <c r="J127" s="4">
        <v>-12.296802874138969</v>
      </c>
      <c r="K127" s="4327" t="str">
        <f>IF(       0.023&lt;0.01,"***",IF(       0.023&lt;0.05,"**",IF(       0.023&lt;0.1,"*","NS")))</f>
        <v>**</v>
      </c>
      <c r="L127" s="4">
        <v>2.3008657160781212</v>
      </c>
      <c r="M127" s="4">
        <v>-13.306107893080153</v>
      </c>
      <c r="N127" s="4328" t="str">
        <f>IF(       0.013&lt;0.01,"***",IF(       0.013&lt;0.05,"**",IF(       0.013&lt;0.1,"*","NS")))</f>
        <v>**</v>
      </c>
      <c r="P127" s="296" t="s">
        <v>4422</v>
      </c>
      <c r="Q127" s="4">
        <v>8.3637088951563854</v>
      </c>
      <c r="R127" s="4">
        <v>2.3008657160781212</v>
      </c>
      <c r="S127" s="4">
        <v>-6.0628431790782482</v>
      </c>
      <c r="T127" s="4329" t="str">
        <f>IF(       0.018&lt;0.01,"***",IF(       0.018&lt;0.05,"**",IF(       0.018&lt;0.1,"*","NS")))</f>
        <v>**</v>
      </c>
    </row>
    <row r="128" spans="1:20" x14ac:dyDescent="0.2">
      <c r="A128" s="296" t="s">
        <v>4337</v>
      </c>
      <c r="B128" s="4">
        <v>19.93090904824215</v>
      </c>
      <c r="C128" s="4">
        <v>11.1787607457028</v>
      </c>
      <c r="D128" s="4">
        <v>-8.7521483025393252</v>
      </c>
      <c r="E128" s="4330" t="str">
        <f>IF(       0.004&lt;0.01,"***",IF(       0.004&lt;0.05,"**",IF(       0.004&lt;0.1,"*","NS")))</f>
        <v>***</v>
      </c>
      <c r="G128" s="296" t="s">
        <v>4377</v>
      </c>
      <c r="H128" s="4">
        <v>19.93090904824215</v>
      </c>
      <c r="I128" s="4">
        <v>13.150637459261789</v>
      </c>
      <c r="J128" s="4">
        <v>-6.7802715889803702</v>
      </c>
      <c r="K128" s="4331" t="str">
        <f>IF(       0.041&lt;0.01,"***",IF(       0.041&lt;0.05,"**",IF(       0.041&lt;0.1,"*","NS")))</f>
        <v>**</v>
      </c>
      <c r="L128" s="4">
        <v>7.5328397259164683</v>
      </c>
      <c r="M128" s="4">
        <v>-12.398069322325645</v>
      </c>
      <c r="N128" s="4332" t="str">
        <f>IF(       0.004&lt;0.01,"***",IF(       0.004&lt;0.05,"**",IF(       0.004&lt;0.1,"*","NS")))</f>
        <v>***</v>
      </c>
      <c r="P128" s="296" t="s">
        <v>4423</v>
      </c>
      <c r="Q128" s="4">
        <v>16.089117161797741</v>
      </c>
      <c r="R128" s="4">
        <v>7.5328397259164683</v>
      </c>
      <c r="S128" s="4">
        <v>-8.5562774358813005</v>
      </c>
      <c r="T128" s="4333" t="str">
        <f>IF(       0.034&lt;0.01,"***",IF(       0.034&lt;0.05,"**",IF(       0.034&lt;0.1,"*","NS")))</f>
        <v>**</v>
      </c>
    </row>
    <row r="129" spans="1:20" x14ac:dyDescent="0.2">
      <c r="A129" s="296" t="s">
        <v>4338</v>
      </c>
      <c r="B129" s="4">
        <v>9.8418919211163516</v>
      </c>
      <c r="C129" s="4">
        <v>5.6962485682794357</v>
      </c>
      <c r="D129" s="4">
        <v>-4.1456433528369212</v>
      </c>
      <c r="E129" s="4334" t="str">
        <f>IF(       0.222&lt;0.01,"***",IF(       0.222&lt;0.05,"**",IF(       0.222&lt;0.1,"*","NS")))</f>
        <v>NS</v>
      </c>
      <c r="G129" s="296" t="s">
        <v>4378</v>
      </c>
      <c r="H129" s="4">
        <v>9.8418919211163516</v>
      </c>
      <c r="I129" s="4">
        <v>6.3555938896395734</v>
      </c>
      <c r="J129" s="4">
        <v>-3.4862980314767853</v>
      </c>
      <c r="K129" s="4335" t="str">
        <f>IF(       0.286&lt;0.01,"***",IF(       0.286&lt;0.05,"**",IF(       0.286&lt;0.1,"*","NS")))</f>
        <v>NS</v>
      </c>
      <c r="L129" s="4">
        <v>3.985477230364006</v>
      </c>
      <c r="M129" s="4">
        <v>-5.856414690752346</v>
      </c>
      <c r="N129" s="4336" t="str">
        <f>IF(       0.185&lt;0.01,"***",IF(       0.185&lt;0.05,"**",IF(       0.185&lt;0.1,"*","NS")))</f>
        <v>NS</v>
      </c>
      <c r="P129" s="296" t="s">
        <v>4424</v>
      </c>
      <c r="Q129" s="4">
        <v>7.990087100004021</v>
      </c>
      <c r="R129" s="4">
        <v>3.985477230364006</v>
      </c>
      <c r="S129" s="4">
        <v>-4.0046098696400145</v>
      </c>
      <c r="T129" s="4337" t="str">
        <f>IF(       0.219&lt;0.01,"***",IF(       0.219&lt;0.05,"**",IF(       0.219&lt;0.1,"*","NS")))</f>
        <v>NS</v>
      </c>
    </row>
    <row r="130" spans="1:20" x14ac:dyDescent="0.2">
      <c r="A130" s="296" t="s">
        <v>4339</v>
      </c>
      <c r="B130" s="4">
        <v>3.181482942569565</v>
      </c>
      <c r="C130" s="4">
        <v>3.3723840013449902</v>
      </c>
      <c r="D130" s="4">
        <v>0.19090105877542302</v>
      </c>
      <c r="E130" s="4338" t="str">
        <f>IF(       0.894&lt;0.01,"***",IF(       0.894&lt;0.05,"**",IF(       0.894&lt;0.1,"*","NS")))</f>
        <v>NS</v>
      </c>
      <c r="G130" s="296" t="s">
        <v>4379</v>
      </c>
      <c r="H130" s="4">
        <v>3.181482942569565</v>
      </c>
      <c r="I130" s="4">
        <v>4.4943440571707862</v>
      </c>
      <c r="J130" s="4">
        <v>1.3128611146012144</v>
      </c>
      <c r="K130" s="4339" t="str">
        <f>IF(       0.41&lt;0.01,"***",IF(       0.41&lt;0.05,"**",IF(       0.41&lt;0.1,"*","NS")))</f>
        <v>NS</v>
      </c>
      <c r="L130" s="4">
        <v>1.9989532448552469</v>
      </c>
      <c r="M130" s="4">
        <v>-1.1825296977143143</v>
      </c>
      <c r="N130" s="4340" t="str">
        <f>IF(       0.431&lt;0.01,"***",IF(       0.431&lt;0.05,"**",IF(       0.431&lt;0.1,"*","NS")))</f>
        <v>NS</v>
      </c>
      <c r="P130" s="296" t="s">
        <v>4425</v>
      </c>
      <c r="Q130" s="4">
        <v>4.0194451219280953</v>
      </c>
      <c r="R130" s="4">
        <v>1.9989532448552469</v>
      </c>
      <c r="S130" s="4">
        <v>-2.0204918770728435</v>
      </c>
      <c r="T130" s="4341" t="str">
        <f>IF(       0.069&lt;0.01,"***",IF(       0.069&lt;0.05,"**",IF(       0.069&lt;0.1,"*","NS")))</f>
        <v>*</v>
      </c>
    </row>
    <row r="131" spans="1:20" x14ac:dyDescent="0.2">
      <c r="A131" s="296" t="s">
        <v>4340</v>
      </c>
      <c r="B131" s="4">
        <v>6.5667522071369593</v>
      </c>
      <c r="C131" s="4">
        <v>4.4699525039779324</v>
      </c>
      <c r="D131" s="4">
        <v>-2.0967997031590255</v>
      </c>
      <c r="E131" s="4342" t="str">
        <f>IF(       0.232&lt;0.01,"***",IF(       0.232&lt;0.05,"**",IF(       0.232&lt;0.1,"*","NS")))</f>
        <v>NS</v>
      </c>
      <c r="G131" s="296" t="s">
        <v>4380</v>
      </c>
      <c r="H131" s="4">
        <v>6.5667522071369593</v>
      </c>
      <c r="I131" s="4">
        <v>3.207744557908454</v>
      </c>
      <c r="J131" s="4">
        <v>-3.3590076492285017</v>
      </c>
      <c r="K131" s="4343" t="str">
        <f>IF(       0.053&lt;0.01,"***",IF(       0.053&lt;0.05,"**",IF(       0.053&lt;0.1,"*","NS")))</f>
        <v>*</v>
      </c>
      <c r="L131" s="4">
        <v>6.9795126274182611</v>
      </c>
      <c r="M131" s="4">
        <v>0.41276042028130033</v>
      </c>
      <c r="N131" s="4344" t="str">
        <f>IF(       0.862&lt;0.01,"***",IF(       0.862&lt;0.05,"**",IF(       0.862&lt;0.1,"*","NS")))</f>
        <v>NS</v>
      </c>
      <c r="P131" s="296" t="s">
        <v>4426</v>
      </c>
      <c r="Q131" s="4">
        <v>4.7827900487215116</v>
      </c>
      <c r="R131" s="4">
        <v>6.9795126274182611</v>
      </c>
      <c r="S131" s="4">
        <v>2.1967225786967486</v>
      </c>
      <c r="T131" s="4345" t="str">
        <f>IF(       0.257&lt;0.01,"***",IF(       0.257&lt;0.05,"**",IF(       0.257&lt;0.1,"*","NS")))</f>
        <v>NS</v>
      </c>
    </row>
    <row r="132" spans="1:20" x14ac:dyDescent="0.2">
      <c r="A132" s="296" t="s">
        <v>5835</v>
      </c>
      <c r="B132" s="4">
        <v>11.41753257665045</v>
      </c>
      <c r="C132" s="4">
        <v>5.4442072876622198</v>
      </c>
      <c r="D132" s="4">
        <v>-5.9733252889882271</v>
      </c>
      <c r="E132" s="4346" t="str">
        <f>IF(       0&lt;0.01,"***",IF(       0&lt;0.05,"**",IF(       0&lt;0.1,"*","NS")))</f>
        <v>***</v>
      </c>
      <c r="G132" s="296" t="s">
        <v>5835</v>
      </c>
      <c r="H132" s="4">
        <v>11.41753257665045</v>
      </c>
      <c r="I132" s="4">
        <v>6.5879455627858254</v>
      </c>
      <c r="J132" s="4">
        <v>-4.8295870138646686</v>
      </c>
      <c r="K132" s="4347" t="str">
        <f>IF(       0&lt;0.01,"***",IF(       0&lt;0.05,"**",IF(       0&lt;0.1,"*","NS")))</f>
        <v>***</v>
      </c>
      <c r="L132" s="4">
        <v>3.239590885595244</v>
      </c>
      <c r="M132" s="4">
        <v>-8.1779416910551923</v>
      </c>
      <c r="N132" s="4348" t="str">
        <f>IF(       0&lt;0.01,"***",IF(       0&lt;0.05,"**",IF(       0&lt;0.1,"*","NS")))</f>
        <v>***</v>
      </c>
      <c r="P132" s="296" t="s">
        <v>5835</v>
      </c>
      <c r="Q132" s="4">
        <v>8.6597727548021091</v>
      </c>
      <c r="R132" s="4">
        <v>3.239590885595244</v>
      </c>
      <c r="S132" s="4">
        <v>-5.4201818692068011</v>
      </c>
      <c r="T132" s="4349" t="str">
        <f>IF(       0&lt;0.01,"***",IF(       0&lt;0.05,"**",IF(       0&lt;0.1,"*","NS")))</f>
        <v>***</v>
      </c>
    </row>
  </sheetData>
  <pageMargins left="0.7" right="0.7" top="0.75" bottom="0.75" header="0.3" footer="0.3"/>
  <tableParts count="21">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Read_me_first</vt:lpstr>
      <vt:lpstr>P1_Prevalence</vt:lpstr>
      <vt:lpstr>P2_Prevalence_by_type</vt:lpstr>
      <vt:lpstr>P3_Prevalence_household_level</vt:lpstr>
      <vt:lpstr>Indicators_by_type</vt:lpstr>
      <vt:lpstr>E1_Ever_attended_school</vt:lpstr>
      <vt:lpstr>E2_Less_Than_Primary</vt:lpstr>
      <vt:lpstr>E3_Primary</vt:lpstr>
      <vt:lpstr>E4_At_least_secondary</vt:lpstr>
      <vt:lpstr>H1_Water</vt:lpstr>
      <vt:lpstr>H2_Sanitation</vt:lpstr>
      <vt:lpstr>S1_Electricity</vt:lpstr>
      <vt:lpstr>S2_Clean_fuel</vt:lpstr>
      <vt:lpstr>S3_Adequate Housing</vt:lpstr>
      <vt:lpstr>S4_Owns Assets</vt:lpstr>
      <vt:lpstr>S5_Mobile_phone</vt:lpstr>
      <vt:lpstr>M1_Multid_poverty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ktheiss_fordham</dc:creator>
  <cp:lastModifiedBy>Sophie</cp:lastModifiedBy>
  <dcterms:created xsi:type="dcterms:W3CDTF">2023-04-19T11:56:54Z</dcterms:created>
  <dcterms:modified xsi:type="dcterms:W3CDTF">2023-06-08T21:20:34Z</dcterms:modified>
</cp:coreProperties>
</file>